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tern\Br7\"/>
    </mc:Choice>
  </mc:AlternateContent>
  <bookViews>
    <workbookView xWindow="0" yWindow="0" windowWidth="28800" windowHeight="12120" tabRatio="586" firstSheet="3" activeTab="8"/>
  </bookViews>
  <sheets>
    <sheet name="Brunnen T1" sheetId="1" r:id="rId1"/>
    <sheet name="Brunnen T2" sheetId="2" r:id="rId2"/>
    <sheet name="Brunnen T4" sheetId="3" r:id="rId3"/>
    <sheet name="Ion Balance" sheetId="4" r:id="rId4"/>
    <sheet name="Pipe diagramm" sheetId="5" state="hidden" r:id="rId5"/>
    <sheet name="Activity" sheetId="6" r:id="rId6"/>
    <sheet name="Saturation Index" sheetId="7" state="hidden" r:id="rId7"/>
    <sheet name="Saturation Index 2" sheetId="9" r:id="rId8"/>
    <sheet name="redox potential" sheetId="8" r:id="rId9"/>
    <sheet name="Carbon Balance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8" l="1"/>
  <c r="J6" i="8"/>
  <c r="I6" i="8"/>
  <c r="F21" i="11" l="1"/>
  <c r="E21" i="11" s="1"/>
  <c r="F20" i="11"/>
  <c r="E20" i="11" s="1"/>
  <c r="E19" i="11" s="1"/>
  <c r="F19" i="11"/>
  <c r="E16" i="11"/>
  <c r="D16" i="11"/>
  <c r="C16" i="11"/>
  <c r="C20" i="11" l="1"/>
  <c r="C19" i="11" s="1"/>
  <c r="D20" i="11"/>
  <c r="D19" i="11" s="1"/>
  <c r="D21" i="11"/>
  <c r="C21" i="11"/>
  <c r="J30" i="9" l="1"/>
  <c r="N8" i="9" s="1"/>
  <c r="J29" i="9"/>
  <c r="L7" i="9" s="1"/>
  <c r="G30" i="9"/>
  <c r="E3" i="8"/>
  <c r="D3" i="8"/>
  <c r="B3" i="8"/>
  <c r="N7" i="9" l="1"/>
  <c r="M7" i="9"/>
  <c r="L8" i="9"/>
  <c r="M8" i="9"/>
  <c r="C11" i="8"/>
  <c r="C12" i="8" s="1"/>
  <c r="B11" i="8"/>
  <c r="B12" i="8" s="1"/>
  <c r="E2" i="8"/>
  <c r="D2" i="8"/>
  <c r="B2" i="8"/>
  <c r="M19" i="6"/>
  <c r="M18" i="6"/>
  <c r="M17" i="6"/>
  <c r="N17" i="6" s="1"/>
  <c r="L17" i="6" s="1"/>
  <c r="M16" i="6"/>
  <c r="M15" i="6"/>
  <c r="M14" i="6"/>
  <c r="M13" i="6"/>
  <c r="M12" i="6"/>
  <c r="M11" i="6"/>
  <c r="M10" i="6"/>
  <c r="M9" i="6"/>
  <c r="M8" i="6"/>
  <c r="M7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D11" i="8" l="1"/>
  <c r="D12" i="8" s="1"/>
  <c r="E11" i="8"/>
  <c r="E12" i="8" s="1"/>
  <c r="G11" i="8"/>
  <c r="G12" i="8" s="1"/>
  <c r="F11" i="8"/>
  <c r="F12" i="8" s="1"/>
  <c r="N10" i="6"/>
  <c r="L10" i="6" s="1"/>
  <c r="J10" i="6"/>
  <c r="F10" i="6"/>
  <c r="C10" i="6" s="1"/>
  <c r="N14" i="6"/>
  <c r="L14" i="6" s="1"/>
  <c r="J14" i="6"/>
  <c r="H14" i="6" s="1"/>
  <c r="F14" i="6"/>
  <c r="C14" i="6" s="1"/>
  <c r="N8" i="6"/>
  <c r="L8" i="6" s="1"/>
  <c r="J8" i="6"/>
  <c r="H8" i="6" s="1"/>
  <c r="F8" i="6"/>
  <c r="C8" i="6" s="1"/>
  <c r="H29" i="9"/>
  <c r="H28" i="9"/>
  <c r="I27" i="9"/>
  <c r="L5" i="9" s="1"/>
  <c r="H27" i="9"/>
  <c r="B23" i="9"/>
  <c r="F18" i="9"/>
  <c r="D18" i="9"/>
  <c r="C18" i="9"/>
  <c r="F9" i="9"/>
  <c r="F19" i="9" s="1"/>
  <c r="D9" i="9"/>
  <c r="C9" i="9"/>
  <c r="C19" i="9" s="1"/>
  <c r="G5" i="9"/>
  <c r="D19" i="9" l="1"/>
  <c r="M5" i="9"/>
  <c r="E31" i="9"/>
  <c r="F31" i="9"/>
  <c r="C31" i="9"/>
  <c r="N5" i="9"/>
  <c r="D31" i="9"/>
  <c r="L4" i="9" l="1"/>
  <c r="L6" i="9"/>
  <c r="L3" i="9"/>
  <c r="N6" i="9"/>
  <c r="N4" i="9"/>
  <c r="N3" i="9"/>
  <c r="M6" i="9"/>
  <c r="M4" i="9"/>
  <c r="M3" i="9"/>
  <c r="D4" i="8" l="1"/>
  <c r="B4" i="8"/>
  <c r="J5" i="8"/>
  <c r="E4" i="8"/>
  <c r="I5" i="8" l="1"/>
  <c r="K5" i="8"/>
  <c r="E5" i="8"/>
  <c r="B5" i="8"/>
  <c r="D5" i="8"/>
  <c r="H10" i="6" l="1"/>
  <c r="N12" i="6"/>
  <c r="L12" i="6" s="1"/>
  <c r="N18" i="6"/>
  <c r="L18" i="6" s="1"/>
  <c r="N19" i="6"/>
  <c r="L19" i="6" s="1"/>
  <c r="N9" i="6"/>
  <c r="L9" i="6" s="1"/>
  <c r="N11" i="6"/>
  <c r="L11" i="6" s="1"/>
  <c r="N13" i="6"/>
  <c r="L13" i="6" s="1"/>
  <c r="N15" i="6"/>
  <c r="L15" i="6" s="1"/>
  <c r="N16" i="6"/>
  <c r="L16" i="6" s="1"/>
  <c r="N7" i="6"/>
  <c r="L7" i="6" s="1"/>
  <c r="J7" i="6"/>
  <c r="H7" i="6" s="1"/>
  <c r="J19" i="6"/>
  <c r="H19" i="6" s="1"/>
  <c r="J18" i="6"/>
  <c r="H18" i="6" s="1"/>
  <c r="J17" i="6"/>
  <c r="H17" i="6" s="1"/>
  <c r="J12" i="6"/>
  <c r="H12" i="6" s="1"/>
  <c r="J9" i="6"/>
  <c r="H9" i="6" s="1"/>
  <c r="J11" i="6"/>
  <c r="H11" i="6" s="1"/>
  <c r="J13" i="6"/>
  <c r="H13" i="6" s="1"/>
  <c r="J15" i="6"/>
  <c r="H15" i="6" s="1"/>
  <c r="J16" i="6"/>
  <c r="H16" i="6" s="1"/>
  <c r="F7" i="6"/>
  <c r="C7" i="6" s="1"/>
  <c r="F19" i="6"/>
  <c r="C19" i="6" s="1"/>
  <c r="F18" i="6"/>
  <c r="C18" i="6" s="1"/>
  <c r="F17" i="6"/>
  <c r="C17" i="6" s="1"/>
  <c r="F12" i="6"/>
  <c r="C12" i="6" s="1"/>
  <c r="F11" i="6"/>
  <c r="C11" i="6" s="1"/>
  <c r="F13" i="6"/>
  <c r="C13" i="6" s="1"/>
  <c r="F15" i="6"/>
  <c r="C15" i="6" s="1"/>
  <c r="F16" i="6"/>
  <c r="C16" i="6" s="1"/>
  <c r="F9" i="6"/>
  <c r="C9" i="6" s="1"/>
  <c r="B5" i="7"/>
  <c r="B4" i="7"/>
  <c r="B3" i="7"/>
  <c r="B2" i="7"/>
  <c r="H4" i="6" l="1"/>
  <c r="H3" i="6"/>
  <c r="H2" i="6"/>
  <c r="C4" i="6"/>
  <c r="C4" i="7"/>
  <c r="E17" i="7"/>
  <c r="C3" i="7" s="1"/>
  <c r="F17" i="7"/>
  <c r="D2" i="7" s="1"/>
  <c r="D17" i="7"/>
  <c r="B17" i="7"/>
  <c r="D3" i="7" l="1"/>
  <c r="D4" i="7"/>
  <c r="C2" i="7"/>
  <c r="C3" i="6"/>
  <c r="C2" i="6"/>
  <c r="C5" i="7"/>
  <c r="D5" i="7"/>
  <c r="K2" i="6" l="1"/>
  <c r="K3" i="6"/>
  <c r="K4" i="6"/>
  <c r="G2" i="6"/>
  <c r="G3" i="6"/>
  <c r="G4" i="6"/>
  <c r="E18" i="4"/>
  <c r="D18" i="4"/>
  <c r="C18" i="4"/>
  <c r="E9" i="4" l="1"/>
  <c r="D9" i="4"/>
  <c r="C9" i="4"/>
  <c r="E19" i="4" l="1"/>
  <c r="E21" i="4" s="1"/>
  <c r="D19" i="4"/>
  <c r="D21" i="4" s="1"/>
  <c r="C19" i="4"/>
  <c r="C21" i="4" s="1"/>
</calcChain>
</file>

<file path=xl/sharedStrings.xml><?xml version="1.0" encoding="utf-8"?>
<sst xmlns="http://schemas.openxmlformats.org/spreadsheetml/2006/main" count="337" uniqueCount="204">
  <si>
    <t>Parameter</t>
    <phoneticPr fontId="1" type="noConversion"/>
  </si>
  <si>
    <t>Unit</t>
    <phoneticPr fontId="1" type="noConversion"/>
  </si>
  <si>
    <t>Measured value</t>
    <phoneticPr fontId="1" type="noConversion"/>
  </si>
  <si>
    <t>anions:</t>
    <phoneticPr fontId="1" type="noConversion"/>
  </si>
  <si>
    <t>lime/carbonic acid parameter:</t>
    <phoneticPr fontId="1" type="noConversion"/>
  </si>
  <si>
    <t>cations:</t>
    <phoneticPr fontId="1" type="noConversion"/>
  </si>
  <si>
    <t>iron/manganesium</t>
    <phoneticPr fontId="1" type="noConversion"/>
  </si>
  <si>
    <t>Magnesium (Mg)</t>
    <phoneticPr fontId="1" type="noConversion"/>
  </si>
  <si>
    <t>Calcium (Ca)</t>
    <phoneticPr fontId="1" type="noConversion"/>
  </si>
  <si>
    <t>mmol/l</t>
  </si>
  <si>
    <t>mg/l</t>
  </si>
  <si>
    <t>dH</t>
  </si>
  <si>
    <t>&lt;0.01</t>
  </si>
  <si>
    <t>&lt;0.1</t>
  </si>
  <si>
    <t>Iron II (Fe 2+)</t>
    <phoneticPr fontId="1" type="noConversion"/>
  </si>
  <si>
    <t>Iron filtered</t>
    <phoneticPr fontId="1" type="noConversion"/>
  </si>
  <si>
    <t>Iron (Fe)</t>
    <phoneticPr fontId="1" type="noConversion"/>
  </si>
  <si>
    <t>Ion balance in %</t>
    <phoneticPr fontId="1" type="noConversion"/>
  </si>
  <si>
    <t>Total cations</t>
    <phoneticPr fontId="1" type="noConversion"/>
  </si>
  <si>
    <t>Potassium (K)</t>
    <phoneticPr fontId="1" type="noConversion"/>
  </si>
  <si>
    <t>Ammonium (NH4)</t>
    <phoneticPr fontId="1" type="noConversion"/>
  </si>
  <si>
    <t>Sodium (Na)</t>
    <phoneticPr fontId="1" type="noConversion"/>
  </si>
  <si>
    <t>Total anions</t>
    <phoneticPr fontId="1" type="noConversion"/>
  </si>
  <si>
    <t>Sulfate (SO4)</t>
    <phoneticPr fontId="1" type="noConversion"/>
  </si>
  <si>
    <t>Nitrate (NO3)</t>
    <phoneticPr fontId="1" type="noConversion"/>
  </si>
  <si>
    <t>Nitrite (NO2)</t>
    <phoneticPr fontId="1" type="noConversion"/>
  </si>
  <si>
    <t>Chloride (Cl)</t>
    <phoneticPr fontId="1" type="noConversion"/>
  </si>
  <si>
    <t>Carbon hardness</t>
    <phoneticPr fontId="1" type="noConversion"/>
  </si>
  <si>
    <t>Brunnen T1</t>
    <phoneticPr fontId="1" type="noConversion"/>
  </si>
  <si>
    <t>Brunnen T2</t>
    <phoneticPr fontId="1" type="noConversion"/>
  </si>
  <si>
    <t>Brunnen T4</t>
    <phoneticPr fontId="1" type="noConversion"/>
  </si>
  <si>
    <t>Acid capacity pH 4.3</t>
  </si>
  <si>
    <t>Acid capacity pH 4.3</t>
    <phoneticPr fontId="1" type="noConversion"/>
  </si>
  <si>
    <t>%</t>
    <phoneticPr fontId="1" type="noConversion"/>
  </si>
  <si>
    <t>T2(mg/l)</t>
  </si>
  <si>
    <t>T4(mg/l)</t>
  </si>
  <si>
    <t>molarmass(g/mol):</t>
    <phoneticPr fontId="1" type="noConversion"/>
  </si>
  <si>
    <t>T1(mg/l)</t>
    <phoneticPr fontId="1" type="noConversion"/>
  </si>
  <si>
    <t>Anion:</t>
    <phoneticPr fontId="1" type="noConversion"/>
  </si>
  <si>
    <t>Chloride(Cl)</t>
    <phoneticPr fontId="1" type="noConversion"/>
  </si>
  <si>
    <t>Nitrite(NO2)</t>
    <phoneticPr fontId="1" type="noConversion"/>
  </si>
  <si>
    <t>Nitrate(NO3)</t>
    <phoneticPr fontId="1" type="noConversion"/>
  </si>
  <si>
    <t>Sulfate(SO4)</t>
    <phoneticPr fontId="1" type="noConversion"/>
  </si>
  <si>
    <t>Bicarbonate(HCO3)</t>
    <phoneticPr fontId="1" type="noConversion"/>
  </si>
  <si>
    <t>Anion equivalent concentration(mmol/l):</t>
    <phoneticPr fontId="1" type="noConversion"/>
  </si>
  <si>
    <t>Cation:</t>
    <phoneticPr fontId="1" type="noConversion"/>
  </si>
  <si>
    <t>Sodium(Na)</t>
    <phoneticPr fontId="1" type="noConversion"/>
  </si>
  <si>
    <t>Ammonium(NH4)</t>
    <phoneticPr fontId="1" type="noConversion"/>
  </si>
  <si>
    <t>Potassium(K)</t>
    <phoneticPr fontId="1" type="noConversion"/>
  </si>
  <si>
    <t>Calcium(Ca)</t>
    <phoneticPr fontId="1" type="noConversion"/>
  </si>
  <si>
    <t>Magnesium(Mg)</t>
    <phoneticPr fontId="1" type="noConversion"/>
  </si>
  <si>
    <t>Cation equivalent concentration(mmol/l):</t>
    <phoneticPr fontId="1" type="noConversion"/>
  </si>
  <si>
    <t>ionbalance in%:</t>
    <phoneticPr fontId="1" type="noConversion"/>
  </si>
  <si>
    <t>Ca</t>
    <phoneticPr fontId="1" type="noConversion"/>
  </si>
  <si>
    <t>Mg</t>
    <phoneticPr fontId="1" type="noConversion"/>
  </si>
  <si>
    <t>Na+K</t>
    <phoneticPr fontId="1" type="noConversion"/>
  </si>
  <si>
    <t>SO4</t>
    <phoneticPr fontId="1" type="noConversion"/>
  </si>
  <si>
    <t>CO3+HCO3</t>
    <phoneticPr fontId="1" type="noConversion"/>
  </si>
  <si>
    <t>total dissolved solids in water</t>
  </si>
  <si>
    <t>Brunnen T2</t>
  </si>
  <si>
    <t>Cl+NO3</t>
    <phoneticPr fontId="1" type="noConversion"/>
  </si>
  <si>
    <t>Brunnen T1</t>
  </si>
  <si>
    <t>Brunnen T4</t>
  </si>
  <si>
    <t>Iron(Fe)</t>
    <phoneticPr fontId="1" type="noConversion"/>
  </si>
  <si>
    <t>Ion Strength</t>
    <phoneticPr fontId="1" type="noConversion"/>
  </si>
  <si>
    <t>Activity coefficient(1)</t>
    <phoneticPr fontId="1" type="noConversion"/>
  </si>
  <si>
    <t>Activity coefficient(2)</t>
    <phoneticPr fontId="1" type="noConversion"/>
  </si>
  <si>
    <t>Bicarbonate (HCO3)</t>
  </si>
  <si>
    <t>Bicarbonate (HCO3)</t>
    <phoneticPr fontId="1" type="noConversion"/>
  </si>
  <si>
    <t>Chloride (Cl)</t>
  </si>
  <si>
    <t>Nitrite (NO2)</t>
  </si>
  <si>
    <t>Nitrate (NO3)</t>
  </si>
  <si>
    <r>
      <t>log</t>
    </r>
    <r>
      <rPr>
        <sz val="11"/>
        <color theme="1"/>
        <rFont val="宋体"/>
        <family val="3"/>
        <charset val="134"/>
      </rPr>
      <t>γ</t>
    </r>
    <phoneticPr fontId="1" type="noConversion"/>
  </si>
  <si>
    <t>Sulfate (SO4)</t>
  </si>
  <si>
    <t>Sodium (Na)</t>
  </si>
  <si>
    <t>Ammonium (NH4)</t>
  </si>
  <si>
    <t>Potassium (K)</t>
  </si>
  <si>
    <t>Calcium (Ca)</t>
  </si>
  <si>
    <t>Magnesium (Mg)</t>
  </si>
  <si>
    <t>Iron II (Fe 2+)</t>
  </si>
  <si>
    <t>logγ</t>
    <phoneticPr fontId="1" type="noConversion"/>
  </si>
  <si>
    <t>PH=7.8</t>
    <phoneticPr fontId="1" type="noConversion"/>
  </si>
  <si>
    <t>CaCO3</t>
    <phoneticPr fontId="1" type="noConversion"/>
  </si>
  <si>
    <t>FeCO3</t>
    <phoneticPr fontId="1" type="noConversion"/>
  </si>
  <si>
    <t>MgCO3</t>
    <phoneticPr fontId="1" type="noConversion"/>
  </si>
  <si>
    <t>CaSO4</t>
    <phoneticPr fontId="1" type="noConversion"/>
  </si>
  <si>
    <t>CO3</t>
    <phoneticPr fontId="1" type="noConversion"/>
  </si>
  <si>
    <t>CO3 activity</t>
    <phoneticPr fontId="1" type="noConversion"/>
  </si>
  <si>
    <t>Brunnen T1</t>
    <phoneticPr fontId="1" type="noConversion"/>
  </si>
  <si>
    <t>Brunnen T2</t>
    <phoneticPr fontId="1" type="noConversion"/>
  </si>
  <si>
    <t>Brunnen T4</t>
    <phoneticPr fontId="1" type="noConversion"/>
  </si>
  <si>
    <t>HCO3 activity (25℃)</t>
    <phoneticPr fontId="1" type="noConversion"/>
  </si>
  <si>
    <t>T=10℃</t>
    <phoneticPr fontId="1" type="noConversion"/>
  </si>
  <si>
    <r>
      <t>10</t>
    </r>
    <r>
      <rPr>
        <sz val="11"/>
        <color theme="1"/>
        <rFont val="宋体"/>
        <family val="3"/>
        <charset val="134"/>
      </rPr>
      <t>℃</t>
    </r>
    <phoneticPr fontId="1" type="noConversion"/>
  </si>
  <si>
    <t>Ca</t>
    <phoneticPr fontId="1" type="noConversion"/>
  </si>
  <si>
    <t>Fe</t>
    <phoneticPr fontId="1" type="noConversion"/>
  </si>
  <si>
    <t>Mg</t>
    <phoneticPr fontId="1" type="noConversion"/>
  </si>
  <si>
    <t>SO4</t>
    <phoneticPr fontId="1" type="noConversion"/>
  </si>
  <si>
    <t>7.0-7.4</t>
    <phoneticPr fontId="1" type="noConversion"/>
  </si>
  <si>
    <t>resperation pH 7.8 (probaly)</t>
    <phoneticPr fontId="1" type="noConversion"/>
  </si>
  <si>
    <t>pH 7.4</t>
    <phoneticPr fontId="1" type="noConversion"/>
  </si>
  <si>
    <t>a0</t>
    <phoneticPr fontId="1" type="noConversion"/>
  </si>
  <si>
    <t>Brunnen T1 activity mmol/l</t>
    <phoneticPr fontId="1" type="noConversion"/>
  </si>
  <si>
    <t>SI&lt;0 under saturation</t>
    <phoneticPr fontId="1" type="noConversion"/>
  </si>
  <si>
    <t>Fe（OH）2</t>
    <phoneticPr fontId="1" type="noConversion"/>
  </si>
  <si>
    <t>SI=log10(IAP/Ksp)</t>
    <phoneticPr fontId="1" type="noConversion"/>
  </si>
  <si>
    <t>Fe2+</t>
    <phoneticPr fontId="1" type="noConversion"/>
  </si>
  <si>
    <t>Fe3+</t>
    <phoneticPr fontId="1" type="noConversion"/>
  </si>
  <si>
    <t>activity</t>
    <phoneticPr fontId="1" type="noConversion"/>
  </si>
  <si>
    <t>Fe(OH)3</t>
    <phoneticPr fontId="1" type="noConversion"/>
  </si>
  <si>
    <t>EH</t>
    <phoneticPr fontId="1" type="noConversion"/>
  </si>
  <si>
    <t>pe</t>
    <phoneticPr fontId="1" type="noConversion"/>
  </si>
  <si>
    <t>FeOOH</t>
    <phoneticPr fontId="1" type="noConversion"/>
  </si>
  <si>
    <t>Fe(OH)3</t>
    <phoneticPr fontId="1" type="noConversion"/>
  </si>
  <si>
    <t>a2(mmol/l)</t>
  </si>
  <si>
    <t>a4(mmol/l)</t>
  </si>
  <si>
    <t>CaCO3</t>
    <phoneticPr fontId="1" type="noConversion"/>
  </si>
  <si>
    <t>Fe(OH)2</t>
    <phoneticPr fontId="1" type="noConversion"/>
  </si>
  <si>
    <t>Anion equivalent concentration(mmol/l):</t>
    <phoneticPr fontId="1" type="noConversion"/>
  </si>
  <si>
    <t>Cation:</t>
    <phoneticPr fontId="1" type="noConversion"/>
  </si>
  <si>
    <t>Sodium(Na)</t>
    <phoneticPr fontId="1" type="noConversion"/>
  </si>
  <si>
    <t>Ammonium(NH4)</t>
    <phoneticPr fontId="1" type="noConversion"/>
  </si>
  <si>
    <t>Calcium(Ca)</t>
    <phoneticPr fontId="1" type="noConversion"/>
  </si>
  <si>
    <t>Magnesium(Mg)</t>
    <phoneticPr fontId="1" type="noConversion"/>
  </si>
  <si>
    <t>Iron(Fe)</t>
    <phoneticPr fontId="1" type="noConversion"/>
  </si>
  <si>
    <t>Cation equivalent concentration(mmol/l):</t>
    <phoneticPr fontId="1" type="noConversion"/>
  </si>
  <si>
    <t>ionbalance in%:</t>
    <phoneticPr fontId="1" type="noConversion"/>
  </si>
  <si>
    <t>ionstrength</t>
    <phoneticPr fontId="1" type="noConversion"/>
  </si>
  <si>
    <t>PH</t>
    <phoneticPr fontId="1" type="noConversion"/>
  </si>
  <si>
    <t>K value</t>
    <phoneticPr fontId="1" type="noConversion"/>
  </si>
  <si>
    <t>Cl</t>
    <phoneticPr fontId="1" type="noConversion"/>
  </si>
  <si>
    <t>NO2</t>
    <phoneticPr fontId="1" type="noConversion"/>
  </si>
  <si>
    <t>NO3</t>
    <phoneticPr fontId="1" type="noConversion"/>
  </si>
  <si>
    <t>HCO3</t>
    <phoneticPr fontId="1" type="noConversion"/>
  </si>
  <si>
    <t>Calcite</t>
    <phoneticPr fontId="1" type="noConversion"/>
  </si>
  <si>
    <t>Na</t>
    <phoneticPr fontId="1" type="noConversion"/>
  </si>
  <si>
    <t>Siderite</t>
    <phoneticPr fontId="1" type="noConversion"/>
  </si>
  <si>
    <t>NH4</t>
    <phoneticPr fontId="1" type="noConversion"/>
  </si>
  <si>
    <t>K</t>
    <phoneticPr fontId="1" type="noConversion"/>
  </si>
  <si>
    <t>Ca</t>
    <phoneticPr fontId="1" type="noConversion"/>
  </si>
  <si>
    <t>molarmass(g/mol):</t>
    <phoneticPr fontId="1" type="noConversion"/>
  </si>
  <si>
    <t>T1(mg/l)</t>
    <phoneticPr fontId="1" type="noConversion"/>
  </si>
  <si>
    <t>a1(mmol/l)</t>
    <phoneticPr fontId="1" type="noConversion"/>
  </si>
  <si>
    <t>s1</t>
    <phoneticPr fontId="1" type="noConversion"/>
  </si>
  <si>
    <t>s2</t>
    <phoneticPr fontId="1" type="noConversion"/>
  </si>
  <si>
    <t>s4</t>
    <phoneticPr fontId="1" type="noConversion"/>
  </si>
  <si>
    <t>Anion:</t>
    <phoneticPr fontId="1" type="noConversion"/>
  </si>
  <si>
    <t>Chloride(Cl)</t>
    <phoneticPr fontId="1" type="noConversion"/>
  </si>
  <si>
    <t>CaCO3</t>
    <phoneticPr fontId="1" type="noConversion"/>
  </si>
  <si>
    <t>Nitrite(NO2)</t>
    <phoneticPr fontId="1" type="noConversion"/>
  </si>
  <si>
    <t>MgCO3</t>
    <phoneticPr fontId="1" type="noConversion"/>
  </si>
  <si>
    <t>Nitrate(NO3)</t>
    <phoneticPr fontId="1" type="noConversion"/>
  </si>
  <si>
    <t>CaSO4</t>
    <phoneticPr fontId="1" type="noConversion"/>
  </si>
  <si>
    <t>Bicarbonate(HCO3)</t>
    <phoneticPr fontId="1" type="noConversion"/>
  </si>
  <si>
    <t>FeCO3</t>
    <phoneticPr fontId="1" type="noConversion"/>
  </si>
  <si>
    <t>Sulfate(SO4)</t>
    <phoneticPr fontId="1" type="noConversion"/>
  </si>
  <si>
    <r>
      <t>A=0.496 (10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Arial Unicode MS"/>
        <family val="2"/>
        <charset val="134"/>
      </rPr>
      <t>)</t>
    </r>
    <phoneticPr fontId="1" type="noConversion"/>
  </si>
  <si>
    <t>Brunnen T2 activity mmol/L</t>
    <phoneticPr fontId="1" type="noConversion"/>
  </si>
  <si>
    <t>Brunnen T4 activity mmol/L</t>
    <phoneticPr fontId="1" type="noConversion"/>
  </si>
  <si>
    <t>γ</t>
    <phoneticPr fontId="1" type="noConversion"/>
  </si>
  <si>
    <t>Ksp=1.1*10^(-36)</t>
    <phoneticPr fontId="1" type="noConversion"/>
  </si>
  <si>
    <t>Redox_BR7 (SHE mV)</t>
  </si>
  <si>
    <t>Redox_BR7 (SHE mV)/T</t>
  </si>
  <si>
    <t>E0=0.77 (25℃)</t>
    <phoneticPr fontId="1" type="noConversion"/>
  </si>
  <si>
    <t>18℃</t>
    <phoneticPr fontId="1" type="noConversion"/>
  </si>
  <si>
    <t>EH</t>
    <phoneticPr fontId="1" type="noConversion"/>
  </si>
  <si>
    <t>Fe3+</t>
    <phoneticPr fontId="1" type="noConversion"/>
  </si>
  <si>
    <t>LOG(Fe3+)</t>
    <phoneticPr fontId="1" type="noConversion"/>
  </si>
  <si>
    <t>pH</t>
    <phoneticPr fontId="1" type="noConversion"/>
  </si>
  <si>
    <t>pH</t>
    <phoneticPr fontId="1" type="noConversion"/>
  </si>
  <si>
    <t>[H+]+[OH-]=14.534617</t>
    <phoneticPr fontId="1" type="noConversion"/>
  </si>
  <si>
    <r>
      <t>Kw=0.292*10^(-14)   10</t>
    </r>
    <r>
      <rPr>
        <sz val="11"/>
        <color rgb="FFFF0000"/>
        <rFont val="宋体"/>
        <family val="3"/>
        <charset val="134"/>
      </rPr>
      <t>℃</t>
    </r>
    <phoneticPr fontId="1" type="noConversion"/>
  </si>
  <si>
    <t>OH</t>
    <phoneticPr fontId="1" type="noConversion"/>
  </si>
  <si>
    <r>
      <t>10</t>
    </r>
    <r>
      <rPr>
        <sz val="11"/>
        <color rgb="FFFF0000"/>
        <rFont val="宋体"/>
        <family val="3"/>
        <charset val="134"/>
      </rPr>
      <t>℃</t>
    </r>
    <phoneticPr fontId="1" type="noConversion"/>
  </si>
  <si>
    <t>T1</t>
    <phoneticPr fontId="1" type="noConversion"/>
  </si>
  <si>
    <t>T2</t>
    <phoneticPr fontId="1" type="noConversion"/>
  </si>
  <si>
    <t>T4</t>
    <phoneticPr fontId="1" type="noConversion"/>
  </si>
  <si>
    <r>
      <t>18</t>
    </r>
    <r>
      <rPr>
        <sz val="11"/>
        <color rgb="FFFF0000"/>
        <rFont val="宋体"/>
        <family val="3"/>
        <charset val="134"/>
      </rPr>
      <t>℃</t>
    </r>
    <phoneticPr fontId="1" type="noConversion"/>
  </si>
  <si>
    <t>Fe3+</t>
    <phoneticPr fontId="1" type="noConversion"/>
  </si>
  <si>
    <t>T2(mmol/l)</t>
  </si>
  <si>
    <t>T4(mmol/l)</t>
  </si>
  <si>
    <t>molarmass(g/mol):</t>
  </si>
  <si>
    <t>T1(mg/l)</t>
  </si>
  <si>
    <t>a1(mmol/l)</t>
  </si>
  <si>
    <t>Anion:</t>
  </si>
  <si>
    <t>Chloride(Cl)</t>
  </si>
  <si>
    <t>Nitrite(NO2)</t>
  </si>
  <si>
    <t>Nitrate(NO3)</t>
  </si>
  <si>
    <t>Bicarbonate(HCO3)</t>
  </si>
  <si>
    <t>Sulfate(SO4)</t>
  </si>
  <si>
    <t>Sodium(Na)</t>
  </si>
  <si>
    <t>Ammonium(NH4)</t>
  </si>
  <si>
    <t>Potassium(K)</t>
  </si>
  <si>
    <t>Calcium(Ca)</t>
  </si>
  <si>
    <t>Magnesium(Mg)</t>
  </si>
  <si>
    <t>Iron(Fe)</t>
  </si>
  <si>
    <t>PH=</t>
    <phoneticPr fontId="1" type="noConversion"/>
  </si>
  <si>
    <t>T1(mmol/l)</t>
    <phoneticPr fontId="1" type="noConversion"/>
  </si>
  <si>
    <t>CO2(g)+H2O ⇌ H2CO3</t>
    <phoneticPr fontId="1" type="noConversion"/>
  </si>
  <si>
    <t>a(CO2(g))</t>
    <phoneticPr fontId="1" type="noConversion"/>
  </si>
  <si>
    <t>H2CO3 ⇌ H+HCO3</t>
    <phoneticPr fontId="1" type="noConversion"/>
  </si>
  <si>
    <t>a(H2CO3)</t>
    <phoneticPr fontId="1" type="noConversion"/>
  </si>
  <si>
    <t>HCO3 ⇌ H+CO3</t>
    <phoneticPr fontId="1" type="noConversion"/>
  </si>
  <si>
    <t>a(CO3)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</si>
</sst>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0_ "/>
    <numFmt numFmtId="177" formatCode="0.0_ "/>
    <numFmt numFmtId="178" formatCode="0.000_);[Red]\(0.000\)"/>
    <numFmt numFmtId="179" formatCode="0.00_);[Red]\(0.00\)"/>
    <numFmt numFmtId="180" formatCode="0.0_);[Red]\(0.0\)"/>
    <numFmt numFmtId="181" formatCode="0.00000%"/>
    <numFmt numFmtId="182" formatCode="0.000000000000000000000000_ "/>
    <numFmt numFmtId="183" formatCode="0.000000000000000000000_ "/>
    <numFmt numFmtId="184" formatCode="0.0000000000000000000000000_ "/>
    <numFmt numFmtId="185" formatCode="0.00000000000000000000000_ "/>
    <numFmt numFmtId="186" formatCode="0.0000000000000000000_ "/>
    <numFmt numFmtId="187" formatCode="0.00000000000000000_ "/>
    <numFmt numFmtId="188" formatCode="0.0000_);[Red]\(0.0000\)"/>
    <numFmt numFmtId="189" formatCode="0.00000000_);[Red]\(0.00000000\)"/>
    <numFmt numFmtId="190" formatCode="0.00000000_ "/>
    <numFmt numFmtId="191" formatCode="0.00000000000000000_);[Red]\(0.00000000000000000\)"/>
    <numFmt numFmtId="192" formatCode="0.000000000_ ;[Red]\-0.000000000\ "/>
    <numFmt numFmtId="193" formatCode="0.00000_);[Red]\(0.00000\)"/>
    <numFmt numFmtId="194" formatCode="0.0000_ 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 Unicode MS"/>
      <family val="2"/>
      <charset val="134"/>
    </font>
    <font>
      <sz val="11"/>
      <color rgb="FFFF0000"/>
      <name val="Arial Unicode MS"/>
      <family val="2"/>
      <charset val="134"/>
    </font>
    <font>
      <sz val="11"/>
      <color theme="1"/>
      <name val="宋体"/>
      <family val="3"/>
      <charset val="134"/>
    </font>
    <font>
      <sz val="11"/>
      <color rgb="FF0070C0"/>
      <name val="Arial Unicode MS"/>
      <family val="2"/>
      <charset val="134"/>
    </font>
    <font>
      <sz val="11"/>
      <color rgb="FF7030A0"/>
      <name val="Arial Unicode MS"/>
      <family val="2"/>
      <charset val="134"/>
    </font>
    <font>
      <sz val="11"/>
      <color theme="5"/>
      <name val="Arial Unicode MS"/>
      <family val="2"/>
      <charset val="134"/>
    </font>
    <font>
      <sz val="11"/>
      <color rgb="FF00B050"/>
      <name val="Arial Unicode MS"/>
      <family val="2"/>
      <charset val="134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name val="Arial Unicode MS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178" fontId="2" fillId="0" borderId="0" xfId="0" applyNumberFormat="1" applyFont="1" applyAlignment="1">
      <alignment vertical="center"/>
    </xf>
    <xf numFmtId="1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81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2" borderId="0" xfId="0" applyFont="1" applyFill="1">
      <alignment vertical="center"/>
    </xf>
    <xf numFmtId="182" fontId="2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186" fontId="2" fillId="0" borderId="0" xfId="0" applyNumberFormat="1" applyFont="1">
      <alignment vertical="center"/>
    </xf>
    <xf numFmtId="187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85" fontId="2" fillId="0" borderId="1" xfId="0" applyNumberFormat="1" applyFont="1" applyBorder="1">
      <alignment vertical="center"/>
    </xf>
    <xf numFmtId="183" fontId="2" fillId="0" borderId="1" xfId="0" applyNumberFormat="1" applyFont="1" applyBorder="1">
      <alignment vertical="center"/>
    </xf>
    <xf numFmtId="182" fontId="2" fillId="0" borderId="1" xfId="0" applyNumberFormat="1" applyFont="1" applyBorder="1">
      <alignment vertical="center"/>
    </xf>
    <xf numFmtId="188" fontId="2" fillId="0" borderId="0" xfId="0" applyNumberFormat="1" applyFont="1">
      <alignment vertical="center"/>
    </xf>
    <xf numFmtId="11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5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2" fillId="5" borderId="0" xfId="0" applyFont="1" applyFill="1">
      <alignment vertical="center"/>
    </xf>
    <xf numFmtId="0" fontId="10" fillId="0" borderId="0" xfId="0" applyFont="1">
      <alignment vertical="center"/>
    </xf>
    <xf numFmtId="189" fontId="3" fillId="0" borderId="0" xfId="0" applyNumberFormat="1" applyFont="1">
      <alignment vertical="center"/>
    </xf>
    <xf numFmtId="189" fontId="2" fillId="0" borderId="0" xfId="0" applyNumberFormat="1" applyFont="1">
      <alignment vertical="center"/>
    </xf>
    <xf numFmtId="189" fontId="0" fillId="0" borderId="0" xfId="0" applyNumberFormat="1">
      <alignment vertical="center"/>
    </xf>
    <xf numFmtId="190" fontId="2" fillId="0" borderId="0" xfId="0" applyNumberFormat="1" applyFont="1">
      <alignment vertical="center"/>
    </xf>
    <xf numFmtId="189" fontId="12" fillId="0" borderId="0" xfId="0" applyNumberFormat="1" applyFont="1">
      <alignment vertical="center"/>
    </xf>
    <xf numFmtId="191" fontId="2" fillId="0" borderId="0" xfId="0" applyNumberFormat="1" applyFont="1">
      <alignment vertical="center"/>
    </xf>
    <xf numFmtId="192" fontId="2" fillId="0" borderId="0" xfId="0" applyNumberFormat="1" applyFont="1">
      <alignment vertical="center"/>
    </xf>
    <xf numFmtId="192" fontId="2" fillId="2" borderId="0" xfId="0" applyNumberFormat="1" applyFont="1" applyFill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>
      <alignment vertical="center"/>
    </xf>
    <xf numFmtId="189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11" fontId="2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193" fontId="2" fillId="0" borderId="0" xfId="0" applyNumberFormat="1" applyFont="1">
      <alignment vertical="center"/>
    </xf>
    <xf numFmtId="0" fontId="2" fillId="0" borderId="0" xfId="0" applyFont="1" applyFill="1" applyBorder="1" applyAlignment="1">
      <alignment horizontal="right" vertical="center"/>
    </xf>
    <xf numFmtId="194" fontId="2" fillId="0" borderId="0" xfId="0" applyNumberFormat="1" applyFont="1">
      <alignment vertical="center"/>
    </xf>
    <xf numFmtId="0" fontId="7" fillId="3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'Ion Balance'!$C$1:$E$1</c:f>
              <c:strCache>
                <c:ptCount val="3"/>
                <c:pt idx="0">
                  <c:v>T1(mg/l)</c:v>
                </c:pt>
                <c:pt idx="1">
                  <c:v>T2(mg/l)</c:v>
                </c:pt>
                <c:pt idx="2">
                  <c:v>T4(mg/l)</c:v>
                </c:pt>
              </c:strCache>
            </c:strRef>
          </c:xVal>
          <c:yVal>
            <c:numRef>
              <c:f>'Ion Balance'!$C$19:$E$19</c:f>
              <c:numCache>
                <c:formatCode>0.00%</c:formatCode>
                <c:ptCount val="3"/>
                <c:pt idx="0">
                  <c:v>-2.7369493297680011E-2</c:v>
                </c:pt>
                <c:pt idx="1">
                  <c:v>-1.8308935042793274E-2</c:v>
                </c:pt>
                <c:pt idx="2">
                  <c:v>-2.3903873808070797E-2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66-43DD-939B-CA68F78C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88688"/>
        <c:axId val="296195384"/>
      </c:scatterChart>
      <c:valAx>
        <c:axId val="29618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96195384"/>
        <c:crosses val="autoZero"/>
        <c:crossBetween val="midCat"/>
      </c:valAx>
      <c:valAx>
        <c:axId val="2961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9618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104775</xdr:rowOff>
    </xdr:from>
    <xdr:to>
      <xdr:col>12</xdr:col>
      <xdr:colOff>495300</xdr:colOff>
      <xdr:row>15</xdr:row>
      <xdr:rowOff>123825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8" sqref="A8:C8"/>
    </sheetView>
  </sheetViews>
  <sheetFormatPr defaultRowHeight="16.5" x14ac:dyDescent="0.2"/>
  <cols>
    <col min="1" max="1" width="19" style="1" bestFit="1" customWidth="1"/>
    <col min="2" max="2" width="9" style="1"/>
    <col min="3" max="3" width="14.875" style="1" bestFit="1" customWidth="1"/>
    <col min="4" max="16384" width="9" style="1"/>
  </cols>
  <sheetData>
    <row r="1" spans="1:3" x14ac:dyDescent="0.2">
      <c r="A1" s="1" t="s">
        <v>28</v>
      </c>
    </row>
    <row r="2" spans="1:3" x14ac:dyDescent="0.2">
      <c r="A2" s="1" t="s">
        <v>0</v>
      </c>
      <c r="B2" s="1" t="s">
        <v>1</v>
      </c>
      <c r="C2" s="1" t="s">
        <v>2</v>
      </c>
    </row>
    <row r="3" spans="1:3" x14ac:dyDescent="0.2">
      <c r="A3" s="76" t="s">
        <v>4</v>
      </c>
      <c r="B3" s="76"/>
      <c r="C3" s="76"/>
    </row>
    <row r="4" spans="1:3" x14ac:dyDescent="0.2">
      <c r="A4" s="1" t="s">
        <v>31</v>
      </c>
      <c r="B4" s="1" t="s">
        <v>9</v>
      </c>
      <c r="C4" s="3">
        <v>4.7</v>
      </c>
    </row>
    <row r="5" spans="1:3" x14ac:dyDescent="0.2">
      <c r="A5" s="1" t="s">
        <v>68</v>
      </c>
      <c r="B5" s="1" t="s">
        <v>10</v>
      </c>
      <c r="C5" s="3">
        <v>283.7</v>
      </c>
    </row>
    <row r="6" spans="1:3" x14ac:dyDescent="0.2">
      <c r="A6" s="1" t="s">
        <v>27</v>
      </c>
      <c r="B6" s="1" t="s">
        <v>11</v>
      </c>
      <c r="C6" s="1">
        <v>13.16</v>
      </c>
    </row>
    <row r="8" spans="1:3" x14ac:dyDescent="0.2">
      <c r="A8" s="76" t="s">
        <v>3</v>
      </c>
      <c r="B8" s="76"/>
      <c r="C8" s="76"/>
    </row>
    <row r="9" spans="1:3" x14ac:dyDescent="0.2">
      <c r="A9" s="1" t="s">
        <v>26</v>
      </c>
      <c r="B9" s="1" t="s">
        <v>10</v>
      </c>
      <c r="C9" s="4">
        <v>13</v>
      </c>
    </row>
    <row r="10" spans="1:3" x14ac:dyDescent="0.2">
      <c r="A10" s="1" t="s">
        <v>25</v>
      </c>
      <c r="B10" s="1" t="s">
        <v>10</v>
      </c>
      <c r="C10" s="2" t="s">
        <v>12</v>
      </c>
    </row>
    <row r="11" spans="1:3" x14ac:dyDescent="0.2">
      <c r="A11" s="1" t="s">
        <v>24</v>
      </c>
      <c r="B11" s="1" t="s">
        <v>10</v>
      </c>
      <c r="C11" s="1">
        <v>1.46</v>
      </c>
    </row>
    <row r="12" spans="1:3" x14ac:dyDescent="0.2">
      <c r="A12" s="1" t="s">
        <v>23</v>
      </c>
      <c r="B12" s="1" t="s">
        <v>10</v>
      </c>
      <c r="C12" s="1">
        <v>21.4</v>
      </c>
    </row>
    <row r="13" spans="1:3" x14ac:dyDescent="0.2">
      <c r="A13" s="1" t="s">
        <v>22</v>
      </c>
      <c r="B13" s="1" t="s">
        <v>9</v>
      </c>
      <c r="C13" s="1">
        <v>5.54</v>
      </c>
    </row>
    <row r="15" spans="1:3" x14ac:dyDescent="0.2">
      <c r="A15" s="76" t="s">
        <v>5</v>
      </c>
      <c r="B15" s="76"/>
      <c r="C15" s="76"/>
    </row>
    <row r="16" spans="1:3" x14ac:dyDescent="0.2">
      <c r="A16" s="1" t="s">
        <v>21</v>
      </c>
      <c r="B16" s="1" t="s">
        <v>10</v>
      </c>
      <c r="C16" s="1">
        <v>10.1</v>
      </c>
    </row>
    <row r="17" spans="1:3" x14ac:dyDescent="0.2">
      <c r="A17" s="1" t="s">
        <v>20</v>
      </c>
      <c r="B17" s="1" t="s">
        <v>10</v>
      </c>
      <c r="C17" s="2" t="s">
        <v>13</v>
      </c>
    </row>
    <row r="18" spans="1:3" x14ac:dyDescent="0.2">
      <c r="A18" s="1" t="s">
        <v>19</v>
      </c>
      <c r="B18" s="1" t="s">
        <v>10</v>
      </c>
      <c r="C18" s="1">
        <v>1.1299999999999999</v>
      </c>
    </row>
    <row r="19" spans="1:3" x14ac:dyDescent="0.2">
      <c r="A19" s="1" t="s">
        <v>8</v>
      </c>
      <c r="B19" s="1" t="s">
        <v>10</v>
      </c>
      <c r="C19" s="1">
        <v>93.2</v>
      </c>
    </row>
    <row r="20" spans="1:3" x14ac:dyDescent="0.2">
      <c r="A20" s="1" t="s">
        <v>7</v>
      </c>
      <c r="B20" s="1" t="s">
        <v>10</v>
      </c>
      <c r="C20" s="1">
        <v>7.71</v>
      </c>
    </row>
    <row r="21" spans="1:3" x14ac:dyDescent="0.2">
      <c r="A21" s="1" t="s">
        <v>18</v>
      </c>
      <c r="B21" s="1" t="s">
        <v>9</v>
      </c>
      <c r="C21" s="1">
        <v>5.76</v>
      </c>
    </row>
    <row r="22" spans="1:3" x14ac:dyDescent="0.2">
      <c r="A22" s="1" t="s">
        <v>17</v>
      </c>
      <c r="B22" s="1" t="s">
        <v>33</v>
      </c>
      <c r="C22" s="1">
        <v>-3.89</v>
      </c>
    </row>
    <row r="24" spans="1:3" x14ac:dyDescent="0.2">
      <c r="A24" s="76" t="s">
        <v>6</v>
      </c>
      <c r="B24" s="76"/>
      <c r="C24" s="76"/>
    </row>
    <row r="25" spans="1:3" x14ac:dyDescent="0.2">
      <c r="A25" s="1" t="s">
        <v>16</v>
      </c>
      <c r="B25" s="1" t="s">
        <v>10</v>
      </c>
      <c r="C25" s="1">
        <v>1.92</v>
      </c>
    </row>
    <row r="26" spans="1:3" x14ac:dyDescent="0.2">
      <c r="A26" s="1" t="s">
        <v>15</v>
      </c>
      <c r="B26" s="1" t="s">
        <v>10</v>
      </c>
      <c r="C26" s="1">
        <v>0.98</v>
      </c>
    </row>
    <row r="27" spans="1:3" x14ac:dyDescent="0.2">
      <c r="A27" s="1" t="s">
        <v>14</v>
      </c>
      <c r="B27" s="1" t="s">
        <v>10</v>
      </c>
      <c r="C27" s="2">
        <v>0.98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B19" sqref="B19"/>
    </sheetView>
  </sheetViews>
  <sheetFormatPr defaultRowHeight="14.25" x14ac:dyDescent="0.2"/>
  <cols>
    <col min="1" max="1" width="20.75" customWidth="1"/>
    <col min="5" max="5" width="12.375" customWidth="1"/>
  </cols>
  <sheetData>
    <row r="1" spans="1:9" ht="16.5" x14ac:dyDescent="0.2">
      <c r="A1" s="51"/>
      <c r="B1" s="51" t="s">
        <v>181</v>
      </c>
      <c r="C1" s="51" t="s">
        <v>182</v>
      </c>
      <c r="D1" s="51" t="s">
        <v>34</v>
      </c>
      <c r="E1" s="51" t="s">
        <v>35</v>
      </c>
      <c r="F1" s="51" t="s">
        <v>183</v>
      </c>
      <c r="G1" s="51" t="s">
        <v>114</v>
      </c>
      <c r="H1" s="51"/>
      <c r="I1" s="51" t="s">
        <v>115</v>
      </c>
    </row>
    <row r="2" spans="1:9" ht="16.5" x14ac:dyDescent="0.2">
      <c r="A2" s="5" t="s">
        <v>184</v>
      </c>
      <c r="B2" s="5"/>
      <c r="C2" s="5"/>
      <c r="D2" s="5"/>
      <c r="E2" s="5"/>
      <c r="F2" s="51"/>
      <c r="G2" s="51"/>
      <c r="H2" s="51"/>
      <c r="I2" s="51"/>
    </row>
    <row r="3" spans="1:9" ht="16.5" x14ac:dyDescent="0.2">
      <c r="A3" s="51" t="s">
        <v>185</v>
      </c>
      <c r="B3" s="6">
        <v>35.453000000000003</v>
      </c>
      <c r="C3" s="7">
        <v>13</v>
      </c>
      <c r="D3" s="7">
        <v>12.2</v>
      </c>
      <c r="E3" s="7">
        <v>12.3</v>
      </c>
      <c r="F3" s="49">
        <v>0.33353125262644934</v>
      </c>
      <c r="G3" s="49">
        <v>0.31360120067343966</v>
      </c>
      <c r="H3" s="49"/>
      <c r="I3" s="49">
        <v>0.31587213141490134</v>
      </c>
    </row>
    <row r="4" spans="1:9" ht="16.5" x14ac:dyDescent="0.2">
      <c r="A4" s="51" t="s">
        <v>186</v>
      </c>
      <c r="B4" s="6">
        <v>46.006</v>
      </c>
      <c r="C4" s="8">
        <v>0.01</v>
      </c>
      <c r="D4" s="8">
        <v>0.01</v>
      </c>
      <c r="E4" s="8">
        <v>0.01</v>
      </c>
      <c r="F4" s="49">
        <v>1.9771354260093502E-4</v>
      </c>
      <c r="G4" s="49">
        <v>1.9808934761142172E-4</v>
      </c>
      <c r="H4" s="49"/>
      <c r="I4" s="49">
        <v>1.9790165907262056E-4</v>
      </c>
    </row>
    <row r="5" spans="1:9" ht="16.5" x14ac:dyDescent="0.2">
      <c r="A5" s="51" t="s">
        <v>187</v>
      </c>
      <c r="B5" s="6">
        <v>62.005000000000003</v>
      </c>
      <c r="C5" s="7">
        <v>1.46</v>
      </c>
      <c r="D5" s="8">
        <v>0.35</v>
      </c>
      <c r="E5" s="8">
        <v>0.35</v>
      </c>
      <c r="F5" s="49">
        <v>2.1442427983013785E-2</v>
      </c>
      <c r="G5" s="49">
        <v>5.144141541294384E-3</v>
      </c>
      <c r="H5" s="49"/>
      <c r="I5" s="49">
        <v>5.1392674962186949E-3</v>
      </c>
    </row>
    <row r="6" spans="1:9" ht="16.5" x14ac:dyDescent="0.2">
      <c r="A6" s="51" t="s">
        <v>188</v>
      </c>
      <c r="B6" s="6">
        <v>61.017000000000003</v>
      </c>
      <c r="C6" s="4">
        <v>283.7</v>
      </c>
      <c r="D6" s="9">
        <v>279.5</v>
      </c>
      <c r="E6" s="9">
        <v>283.7</v>
      </c>
      <c r="F6" s="49">
        <v>4.2425570558693169</v>
      </c>
      <c r="G6" s="49">
        <v>4.187176995384938</v>
      </c>
      <c r="H6" s="49"/>
      <c r="I6" s="49">
        <v>4.2463301811463996</v>
      </c>
    </row>
    <row r="7" spans="1:9" ht="16.5" x14ac:dyDescent="0.2">
      <c r="A7" s="51" t="s">
        <v>189</v>
      </c>
      <c r="B7" s="6">
        <v>96.063000000000002</v>
      </c>
      <c r="C7" s="9">
        <v>21.4</v>
      </c>
      <c r="D7" s="7">
        <v>18.7</v>
      </c>
      <c r="E7" s="9">
        <v>18.8</v>
      </c>
      <c r="F7" s="49">
        <v>0.15405069364984886</v>
      </c>
      <c r="G7" s="49">
        <v>0.13558674524880227</v>
      </c>
      <c r="H7" s="49"/>
      <c r="I7" s="49">
        <v>0.13582280877548719</v>
      </c>
    </row>
    <row r="8" spans="1:9" ht="16.5" x14ac:dyDescent="0.2">
      <c r="A8" s="51"/>
      <c r="B8" s="6"/>
      <c r="C8" s="2"/>
      <c r="D8" s="70"/>
      <c r="E8" s="71"/>
      <c r="F8" s="50"/>
      <c r="G8" s="50"/>
      <c r="H8" s="50"/>
      <c r="I8" s="50"/>
    </row>
    <row r="9" spans="1:9" ht="16.5" x14ac:dyDescent="0.2">
      <c r="A9" s="12" t="s">
        <v>45</v>
      </c>
      <c r="B9" s="12"/>
      <c r="C9" s="12"/>
      <c r="D9" s="12"/>
      <c r="E9" s="12"/>
      <c r="F9" s="49"/>
      <c r="G9" s="49"/>
      <c r="H9" s="49"/>
      <c r="I9" s="49"/>
    </row>
    <row r="10" spans="1:9" ht="16.5" x14ac:dyDescent="0.2">
      <c r="A10" s="51" t="s">
        <v>190</v>
      </c>
      <c r="B10" s="6">
        <v>22.99</v>
      </c>
      <c r="C10" s="7">
        <v>10.1</v>
      </c>
      <c r="D10" s="7">
        <v>8.82</v>
      </c>
      <c r="E10" s="7">
        <v>8.5299999999999994</v>
      </c>
      <c r="F10" s="49">
        <v>0.40087063931574846</v>
      </c>
      <c r="G10" s="49">
        <v>0.35068937758078272</v>
      </c>
      <c r="H10" s="49"/>
      <c r="I10" s="49">
        <v>0.33885818080583707</v>
      </c>
    </row>
    <row r="11" spans="1:9" ht="16.5" x14ac:dyDescent="0.2">
      <c r="A11" s="51" t="s">
        <v>191</v>
      </c>
      <c r="B11" s="6">
        <v>18.038</v>
      </c>
      <c r="C11" s="8">
        <v>0.1</v>
      </c>
      <c r="D11" s="8">
        <v>0.12</v>
      </c>
      <c r="E11" s="8">
        <v>0.14000000000000001</v>
      </c>
      <c r="F11" s="49">
        <v>5.0358303714758326E-3</v>
      </c>
      <c r="G11" s="49">
        <v>6.0548032708324208E-3</v>
      </c>
      <c r="H11" s="49"/>
      <c r="I11" s="49">
        <v>7.0570585512780767E-3</v>
      </c>
    </row>
    <row r="12" spans="1:9" ht="16.5" x14ac:dyDescent="0.2">
      <c r="A12" s="51" t="s">
        <v>192</v>
      </c>
      <c r="B12" s="6">
        <v>39.097999999999999</v>
      </c>
      <c r="C12" s="7">
        <v>1.1299999999999999</v>
      </c>
      <c r="D12" s="7">
        <v>1.78</v>
      </c>
      <c r="E12" s="7">
        <v>1.84</v>
      </c>
      <c r="F12" s="49">
        <v>2.6288556622829803E-2</v>
      </c>
      <c r="G12" s="49">
        <v>4.1489003555490449E-2</v>
      </c>
      <c r="H12" s="49"/>
      <c r="I12" s="49">
        <v>4.2846873620327276E-2</v>
      </c>
    </row>
    <row r="13" spans="1:9" ht="16.5" x14ac:dyDescent="0.2">
      <c r="A13" s="51" t="s">
        <v>193</v>
      </c>
      <c r="B13" s="6">
        <v>40.078000000000003</v>
      </c>
      <c r="C13" s="9">
        <v>93.2</v>
      </c>
      <c r="D13" s="9">
        <v>89.2</v>
      </c>
      <c r="E13" s="9">
        <v>91.5</v>
      </c>
      <c r="F13" s="49">
        <v>1.6386171997569552</v>
      </c>
      <c r="G13" s="49">
        <v>1.5784998498432543</v>
      </c>
      <c r="H13" s="49"/>
      <c r="I13" s="49">
        <v>1.613960609709022</v>
      </c>
    </row>
    <row r="14" spans="1:9" ht="16.5" x14ac:dyDescent="0.2">
      <c r="A14" s="51" t="s">
        <v>194</v>
      </c>
      <c r="B14" s="6">
        <v>24.305</v>
      </c>
      <c r="C14" s="7">
        <v>7.71</v>
      </c>
      <c r="D14" s="7">
        <v>7.18</v>
      </c>
      <c r="E14" s="7">
        <v>7.61</v>
      </c>
      <c r="F14" s="49">
        <v>0.22735167038602724</v>
      </c>
      <c r="G14" s="49">
        <v>0.21297172189437169</v>
      </c>
      <c r="H14" s="49"/>
      <c r="I14" s="49">
        <v>0.22506387853306795</v>
      </c>
    </row>
    <row r="15" spans="1:9" ht="16.5" x14ac:dyDescent="0.2">
      <c r="A15" s="51" t="s">
        <v>195</v>
      </c>
      <c r="B15" s="6">
        <v>55.844999999999999</v>
      </c>
      <c r="C15" s="7">
        <v>0.98</v>
      </c>
      <c r="D15" s="7">
        <v>1.1299999999999999</v>
      </c>
      <c r="E15" s="7">
        <v>1.1100000000000001</v>
      </c>
      <c r="F15" s="49">
        <v>1.2365435547813032E-2</v>
      </c>
      <c r="G15" s="49">
        <v>1.4350924501890497E-2</v>
      </c>
      <c r="H15" s="49"/>
      <c r="I15" s="49">
        <v>1.4051301789284881E-2</v>
      </c>
    </row>
    <row r="16" spans="1:9" ht="16.5" x14ac:dyDescent="0.2">
      <c r="A16" s="51" t="s">
        <v>127</v>
      </c>
      <c r="B16" s="51"/>
      <c r="C16" s="72">
        <f>0.5*10^(-3)*(C3/$B3+C4/$B4+C5/$B5+C7/$B7*4+C6/$B6+C10/$B10+C11/$B11+C12/$B12+C13/$B13*4+C14/$B14*4+C15/$B15*4)</f>
        <v>8.5228748520300417E-3</v>
      </c>
      <c r="D16" s="72">
        <f>0.5*10^(-3)*(D3/$B3+D4/$B4+D5/$B5+D7/$B7*4+D6/$B6+D10/$B10+D11/$B11+D12/$B12+D13/$B13*4+D14/$B14*4+D15/$B15*4)</f>
        <v>8.1551891374453071E-3</v>
      </c>
      <c r="E16" s="72">
        <f>0.5*10^(-3)*(E3/$B3+E4/$B4+E5/$B5+E7/$B7*4+E6/$B6+E10/$B10+E11/$B11+E12/$B12+E13/$B13*4+E14/$B14*4+E15/$B15*4)</f>
        <v>8.337556242288921E-3</v>
      </c>
      <c r="F16" s="51"/>
      <c r="G16" s="51"/>
      <c r="H16" s="51"/>
      <c r="I16" s="51"/>
    </row>
    <row r="17" spans="1:9" ht="16.5" x14ac:dyDescent="0.2">
      <c r="A17" s="51"/>
      <c r="B17" s="51"/>
      <c r="C17" s="72"/>
      <c r="D17" s="72"/>
      <c r="E17" s="72"/>
      <c r="F17" s="51"/>
      <c r="G17" s="51"/>
      <c r="H17" s="51"/>
      <c r="I17" s="51"/>
    </row>
    <row r="18" spans="1:9" ht="16.5" x14ac:dyDescent="0.2">
      <c r="A18" s="73" t="s">
        <v>196</v>
      </c>
      <c r="B18" s="71">
        <v>7.4</v>
      </c>
      <c r="C18" s="5" t="s">
        <v>197</v>
      </c>
      <c r="D18" s="5" t="s">
        <v>179</v>
      </c>
      <c r="E18" s="5" t="s">
        <v>180</v>
      </c>
      <c r="F18" s="5" t="s">
        <v>129</v>
      </c>
      <c r="G18" s="51"/>
      <c r="H18" s="51"/>
      <c r="I18" s="51"/>
    </row>
    <row r="19" spans="1:9" ht="16.5" x14ac:dyDescent="0.2">
      <c r="A19" s="51" t="s">
        <v>198</v>
      </c>
      <c r="B19" s="5" t="s">
        <v>199</v>
      </c>
      <c r="C19" s="74">
        <f>C20/$F19</f>
        <v>9.0704261479987753</v>
      </c>
      <c r="D19" s="74">
        <f>D20/$F19</f>
        <v>8.9520256781688321</v>
      </c>
      <c r="E19" s="74">
        <f>E20/$F19</f>
        <v>9.0784929468001199</v>
      </c>
      <c r="F19" s="50">
        <f>10^-1.27</f>
        <v>5.3703179637025256E-2</v>
      </c>
      <c r="G19" s="51"/>
      <c r="H19" s="51"/>
      <c r="I19" s="51"/>
    </row>
    <row r="20" spans="1:9" ht="16.5" x14ac:dyDescent="0.2">
      <c r="A20" s="51" t="s">
        <v>200</v>
      </c>
      <c r="B20" s="5" t="s">
        <v>201</v>
      </c>
      <c r="C20" s="74">
        <f>F6*10^-$B$18/$F20</f>
        <v>0.48711072481034923</v>
      </c>
      <c r="D20" s="74">
        <f>G6*10^-$B$18/$F20</f>
        <v>0.48075224310996362</v>
      </c>
      <c r="E20" s="74">
        <f>I6*10^-$B$18/$F20</f>
        <v>0.48754393755547359</v>
      </c>
      <c r="F20" s="50">
        <f>10^-6.46</f>
        <v>3.4673685045253148E-7</v>
      </c>
      <c r="G20" s="51"/>
      <c r="H20" s="51"/>
      <c r="I20" s="51"/>
    </row>
    <row r="21" spans="1:9" ht="16.5" x14ac:dyDescent="0.2">
      <c r="A21" s="51" t="s">
        <v>202</v>
      </c>
      <c r="B21" s="5" t="s">
        <v>203</v>
      </c>
      <c r="C21" s="74">
        <f>$F21*F6/10^-$B$18</f>
        <v>2.9351323671410589E-3</v>
      </c>
      <c r="D21" s="74">
        <f>$F21*G6/10^-$B$18</f>
        <v>2.8968187261266013E-3</v>
      </c>
      <c r="E21" s="74">
        <f>$F21*I6/10^-$B$18</f>
        <v>2.9377427320649019E-3</v>
      </c>
      <c r="F21" s="50">
        <f>10^-10.56</f>
        <v>2.7542287033381602E-11</v>
      </c>
      <c r="G21" s="51"/>
      <c r="H21" s="51"/>
      <c r="I21" s="5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C12" sqref="C12"/>
    </sheetView>
  </sheetViews>
  <sheetFormatPr defaultRowHeight="14.25" x14ac:dyDescent="0.2"/>
  <cols>
    <col min="1" max="1" width="18.875" customWidth="1"/>
    <col min="3" max="3" width="14.875" customWidth="1"/>
  </cols>
  <sheetData>
    <row r="1" spans="1:3" ht="16.5" x14ac:dyDescent="0.2">
      <c r="A1" s="1" t="s">
        <v>29</v>
      </c>
      <c r="B1" s="1"/>
      <c r="C1" s="1"/>
    </row>
    <row r="2" spans="1:3" ht="16.5" x14ac:dyDescent="0.2">
      <c r="A2" s="1" t="s">
        <v>0</v>
      </c>
      <c r="B2" s="1" t="s">
        <v>1</v>
      </c>
      <c r="C2" s="1" t="s">
        <v>2</v>
      </c>
    </row>
    <row r="3" spans="1:3" ht="16.5" x14ac:dyDescent="0.2">
      <c r="A3" s="76" t="s">
        <v>4</v>
      </c>
      <c r="B3" s="76"/>
      <c r="C3" s="76"/>
    </row>
    <row r="4" spans="1:3" ht="16.5" x14ac:dyDescent="0.2">
      <c r="A4" s="1" t="s">
        <v>31</v>
      </c>
      <c r="B4" s="1" t="s">
        <v>9</v>
      </c>
      <c r="C4" s="1">
        <v>4.63</v>
      </c>
    </row>
    <row r="5" spans="1:3" ht="16.5" x14ac:dyDescent="0.2">
      <c r="A5" s="42" t="s">
        <v>68</v>
      </c>
      <c r="B5" s="42" t="s">
        <v>10</v>
      </c>
      <c r="C5" s="42">
        <v>279.5</v>
      </c>
    </row>
    <row r="6" spans="1:3" ht="16.5" x14ac:dyDescent="0.2">
      <c r="A6" s="42" t="s">
        <v>27</v>
      </c>
      <c r="B6" s="42" t="s">
        <v>11</v>
      </c>
      <c r="C6" s="42">
        <v>12.96</v>
      </c>
    </row>
    <row r="7" spans="1:3" ht="16.5" x14ac:dyDescent="0.2">
      <c r="A7" s="1"/>
      <c r="B7" s="1"/>
      <c r="C7" s="1"/>
    </row>
    <row r="8" spans="1:3" ht="16.5" x14ac:dyDescent="0.2">
      <c r="A8" s="76" t="s">
        <v>3</v>
      </c>
      <c r="B8" s="76"/>
      <c r="C8" s="76"/>
    </row>
    <row r="9" spans="1:3" ht="16.5" x14ac:dyDescent="0.2">
      <c r="A9" s="1" t="s">
        <v>26</v>
      </c>
      <c r="B9" s="1" t="s">
        <v>10</v>
      </c>
      <c r="C9" s="1">
        <v>12.2</v>
      </c>
    </row>
    <row r="10" spans="1:3" ht="16.5" x14ac:dyDescent="0.2">
      <c r="A10" s="1" t="s">
        <v>25</v>
      </c>
      <c r="B10" s="1" t="s">
        <v>10</v>
      </c>
      <c r="C10" s="2" t="s">
        <v>12</v>
      </c>
    </row>
    <row r="11" spans="1:3" ht="16.5" x14ac:dyDescent="0.2">
      <c r="A11" s="1" t="s">
        <v>24</v>
      </c>
      <c r="B11" s="1" t="s">
        <v>10</v>
      </c>
      <c r="C11" s="1">
        <v>0.35</v>
      </c>
    </row>
    <row r="12" spans="1:3" ht="16.5" x14ac:dyDescent="0.2">
      <c r="A12" s="1" t="s">
        <v>23</v>
      </c>
      <c r="B12" s="1" t="s">
        <v>10</v>
      </c>
      <c r="C12" s="1">
        <v>18.7</v>
      </c>
    </row>
    <row r="13" spans="1:3" ht="16.5" x14ac:dyDescent="0.2">
      <c r="A13" s="1" t="s">
        <v>22</v>
      </c>
      <c r="B13" s="1" t="s">
        <v>9</v>
      </c>
      <c r="C13" s="1">
        <v>5.37</v>
      </c>
    </row>
    <row r="14" spans="1:3" ht="16.5" x14ac:dyDescent="0.2">
      <c r="A14" s="1"/>
      <c r="B14" s="1"/>
      <c r="C14" s="1"/>
    </row>
    <row r="15" spans="1:3" ht="16.5" x14ac:dyDescent="0.2">
      <c r="A15" s="76" t="s">
        <v>5</v>
      </c>
      <c r="B15" s="76"/>
      <c r="C15" s="76"/>
    </row>
    <row r="16" spans="1:3" ht="16.5" x14ac:dyDescent="0.2">
      <c r="A16" s="1" t="s">
        <v>21</v>
      </c>
      <c r="B16" s="1" t="s">
        <v>10</v>
      </c>
      <c r="C16" s="1">
        <v>8.82</v>
      </c>
    </row>
    <row r="17" spans="1:3" ht="16.5" x14ac:dyDescent="0.2">
      <c r="A17" s="1" t="s">
        <v>20</v>
      </c>
      <c r="B17" s="1" t="s">
        <v>10</v>
      </c>
      <c r="C17" s="2">
        <v>0.12</v>
      </c>
    </row>
    <row r="18" spans="1:3" ht="16.5" x14ac:dyDescent="0.2">
      <c r="A18" s="1" t="s">
        <v>19</v>
      </c>
      <c r="B18" s="1" t="s">
        <v>10</v>
      </c>
      <c r="C18" s="1">
        <v>1.78</v>
      </c>
    </row>
    <row r="19" spans="1:3" ht="16.5" x14ac:dyDescent="0.2">
      <c r="A19" s="1" t="s">
        <v>8</v>
      </c>
      <c r="B19" s="1" t="s">
        <v>10</v>
      </c>
      <c r="C19" s="1">
        <v>89.2</v>
      </c>
    </row>
    <row r="20" spans="1:3" ht="16.5" x14ac:dyDescent="0.2">
      <c r="A20" s="1" t="s">
        <v>7</v>
      </c>
      <c r="B20" s="1" t="s">
        <v>10</v>
      </c>
      <c r="C20" s="1">
        <v>7.18</v>
      </c>
    </row>
    <row r="21" spans="1:3" ht="16.5" x14ac:dyDescent="0.2">
      <c r="A21" s="1" t="s">
        <v>18</v>
      </c>
      <c r="B21" s="1" t="s">
        <v>9</v>
      </c>
      <c r="C21" s="1">
        <v>5.48</v>
      </c>
    </row>
    <row r="22" spans="1:3" ht="16.5" x14ac:dyDescent="0.2">
      <c r="A22" s="1" t="s">
        <v>17</v>
      </c>
      <c r="B22" s="1" t="s">
        <v>33</v>
      </c>
      <c r="C22" s="1">
        <v>-2.0299999999999998</v>
      </c>
    </row>
    <row r="23" spans="1:3" ht="16.5" x14ac:dyDescent="0.2">
      <c r="A23" s="1"/>
      <c r="B23" s="1"/>
      <c r="C23" s="1"/>
    </row>
    <row r="24" spans="1:3" ht="16.5" x14ac:dyDescent="0.2">
      <c r="A24" s="76" t="s">
        <v>6</v>
      </c>
      <c r="B24" s="76"/>
      <c r="C24" s="76"/>
    </row>
    <row r="25" spans="1:3" ht="16.5" x14ac:dyDescent="0.2">
      <c r="A25" s="1" t="s">
        <v>16</v>
      </c>
      <c r="B25" s="1" t="s">
        <v>10</v>
      </c>
      <c r="C25" s="1">
        <v>1.32</v>
      </c>
    </row>
    <row r="26" spans="1:3" ht="16.5" x14ac:dyDescent="0.2">
      <c r="A26" s="1" t="s">
        <v>15</v>
      </c>
      <c r="B26" s="1" t="s">
        <v>10</v>
      </c>
      <c r="C26" s="1">
        <v>1.1299999999999999</v>
      </c>
    </row>
    <row r="27" spans="1:3" ht="16.5" x14ac:dyDescent="0.2">
      <c r="A27" s="1" t="s">
        <v>14</v>
      </c>
      <c r="B27" s="1" t="s">
        <v>10</v>
      </c>
      <c r="C27" s="2">
        <v>1.1299999999999999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6" workbookViewId="0">
      <selection activeCell="A9" sqref="A9"/>
    </sheetView>
  </sheetViews>
  <sheetFormatPr defaultRowHeight="14.25" x14ac:dyDescent="0.2"/>
  <cols>
    <col min="1" max="1" width="18.875" customWidth="1"/>
    <col min="3" max="3" width="14.875" customWidth="1"/>
  </cols>
  <sheetData>
    <row r="1" spans="1:3" ht="16.5" x14ac:dyDescent="0.2">
      <c r="A1" s="1" t="s">
        <v>30</v>
      </c>
      <c r="B1" s="1"/>
      <c r="C1" s="1"/>
    </row>
    <row r="2" spans="1:3" ht="16.5" x14ac:dyDescent="0.2">
      <c r="A2" s="1" t="s">
        <v>0</v>
      </c>
      <c r="B2" s="1" t="s">
        <v>1</v>
      </c>
      <c r="C2" s="1" t="s">
        <v>2</v>
      </c>
    </row>
    <row r="3" spans="1:3" ht="16.5" x14ac:dyDescent="0.2">
      <c r="A3" s="76" t="s">
        <v>4</v>
      </c>
      <c r="B3" s="76"/>
      <c r="C3" s="76"/>
    </row>
    <row r="4" spans="1:3" ht="16.5" x14ac:dyDescent="0.2">
      <c r="A4" s="1" t="s">
        <v>32</v>
      </c>
      <c r="B4" s="1" t="s">
        <v>9</v>
      </c>
      <c r="C4" s="3">
        <v>4.7</v>
      </c>
    </row>
    <row r="5" spans="1:3" ht="16.5" x14ac:dyDescent="0.2">
      <c r="A5" s="1" t="s">
        <v>68</v>
      </c>
      <c r="B5" s="1" t="s">
        <v>10</v>
      </c>
      <c r="C5" s="1">
        <v>283.7</v>
      </c>
    </row>
    <row r="6" spans="1:3" ht="16.5" x14ac:dyDescent="0.2">
      <c r="A6" s="1" t="s">
        <v>27</v>
      </c>
      <c r="B6" s="1" t="s">
        <v>11</v>
      </c>
      <c r="C6" s="1">
        <v>13.16</v>
      </c>
    </row>
    <row r="7" spans="1:3" ht="16.5" x14ac:dyDescent="0.2">
      <c r="A7" s="1"/>
      <c r="B7" s="1"/>
      <c r="C7" s="1"/>
    </row>
    <row r="8" spans="1:3" ht="16.5" x14ac:dyDescent="0.2">
      <c r="A8" s="76" t="s">
        <v>3</v>
      </c>
      <c r="B8" s="76"/>
      <c r="C8" s="76"/>
    </row>
    <row r="9" spans="1:3" ht="16.5" x14ac:dyDescent="0.2">
      <c r="A9" s="1" t="s">
        <v>26</v>
      </c>
      <c r="B9" s="1" t="s">
        <v>10</v>
      </c>
      <c r="C9" s="1">
        <v>12.3</v>
      </c>
    </row>
    <row r="10" spans="1:3" ht="16.5" x14ac:dyDescent="0.2">
      <c r="A10" s="1" t="s">
        <v>25</v>
      </c>
      <c r="B10" s="1" t="s">
        <v>10</v>
      </c>
      <c r="C10" s="2" t="s">
        <v>12</v>
      </c>
    </row>
    <row r="11" spans="1:3" ht="16.5" x14ac:dyDescent="0.2">
      <c r="A11" s="1" t="s">
        <v>24</v>
      </c>
      <c r="B11" s="1" t="s">
        <v>10</v>
      </c>
      <c r="C11" s="1">
        <v>0.35</v>
      </c>
    </row>
    <row r="12" spans="1:3" ht="16.5" x14ac:dyDescent="0.2">
      <c r="A12" s="1" t="s">
        <v>23</v>
      </c>
      <c r="B12" s="1" t="s">
        <v>10</v>
      </c>
      <c r="C12" s="1">
        <v>18.8</v>
      </c>
    </row>
    <row r="13" spans="1:3" ht="16.5" x14ac:dyDescent="0.2">
      <c r="A13" s="1" t="s">
        <v>22</v>
      </c>
      <c r="B13" s="1" t="s">
        <v>9</v>
      </c>
      <c r="C13" s="1">
        <v>5.44</v>
      </c>
    </row>
    <row r="14" spans="1:3" ht="16.5" x14ac:dyDescent="0.2">
      <c r="A14" s="1"/>
      <c r="B14" s="1"/>
      <c r="C14" s="1"/>
    </row>
    <row r="15" spans="1:3" ht="16.5" x14ac:dyDescent="0.2">
      <c r="A15" s="76" t="s">
        <v>5</v>
      </c>
      <c r="B15" s="76"/>
      <c r="C15" s="76"/>
    </row>
    <row r="16" spans="1:3" ht="16.5" x14ac:dyDescent="0.2">
      <c r="A16" s="1" t="s">
        <v>21</v>
      </c>
      <c r="B16" s="1" t="s">
        <v>10</v>
      </c>
      <c r="C16" s="1">
        <v>8.5299999999999994</v>
      </c>
    </row>
    <row r="17" spans="1:3" ht="16.5" x14ac:dyDescent="0.2">
      <c r="A17" s="1" t="s">
        <v>20</v>
      </c>
      <c r="B17" s="1" t="s">
        <v>10</v>
      </c>
      <c r="C17" s="2">
        <v>0.14000000000000001</v>
      </c>
    </row>
    <row r="18" spans="1:3" ht="16.5" x14ac:dyDescent="0.2">
      <c r="A18" s="1" t="s">
        <v>19</v>
      </c>
      <c r="B18" s="1" t="s">
        <v>10</v>
      </c>
      <c r="C18" s="1">
        <v>1.84</v>
      </c>
    </row>
    <row r="19" spans="1:3" ht="16.5" x14ac:dyDescent="0.2">
      <c r="A19" s="1" t="s">
        <v>8</v>
      </c>
      <c r="B19" s="1" t="s">
        <v>10</v>
      </c>
      <c r="C19" s="1">
        <v>91.5</v>
      </c>
    </row>
    <row r="20" spans="1:3" ht="16.5" x14ac:dyDescent="0.2">
      <c r="A20" s="1" t="s">
        <v>7</v>
      </c>
      <c r="B20" s="1" t="s">
        <v>10</v>
      </c>
      <c r="C20" s="1">
        <v>7.61</v>
      </c>
    </row>
    <row r="21" spans="1:3" ht="16.5" x14ac:dyDescent="0.2">
      <c r="A21" s="1" t="s">
        <v>18</v>
      </c>
      <c r="B21" s="1" t="s">
        <v>9</v>
      </c>
      <c r="C21" s="1">
        <v>5.62</v>
      </c>
    </row>
    <row r="22" spans="1:3" ht="16.5" x14ac:dyDescent="0.2">
      <c r="A22" s="1" t="s">
        <v>17</v>
      </c>
      <c r="B22" s="1" t="s">
        <v>33</v>
      </c>
      <c r="C22" s="1">
        <v>-3.25</v>
      </c>
    </row>
    <row r="23" spans="1:3" ht="16.5" x14ac:dyDescent="0.2">
      <c r="A23" s="1"/>
      <c r="B23" s="1"/>
      <c r="C23" s="1"/>
    </row>
    <row r="24" spans="1:3" ht="16.5" x14ac:dyDescent="0.2">
      <c r="A24" s="76" t="s">
        <v>6</v>
      </c>
      <c r="B24" s="76"/>
      <c r="C24" s="76"/>
    </row>
    <row r="25" spans="1:3" ht="16.5" x14ac:dyDescent="0.2">
      <c r="A25" s="1" t="s">
        <v>16</v>
      </c>
      <c r="B25" s="1" t="s">
        <v>10</v>
      </c>
      <c r="C25" s="1">
        <v>1.1599999999999999</v>
      </c>
    </row>
    <row r="26" spans="1:3" ht="16.5" x14ac:dyDescent="0.2">
      <c r="A26" s="1" t="s">
        <v>15</v>
      </c>
      <c r="B26" s="1" t="s">
        <v>10</v>
      </c>
      <c r="C26" s="1">
        <v>1.1100000000000001</v>
      </c>
    </row>
    <row r="27" spans="1:3" ht="16.5" x14ac:dyDescent="0.2">
      <c r="A27" s="1" t="s">
        <v>14</v>
      </c>
      <c r="B27" s="1" t="s">
        <v>10</v>
      </c>
      <c r="C27" s="2">
        <v>1.1100000000000001</v>
      </c>
    </row>
  </sheetData>
  <mergeCells count="4">
    <mergeCell ref="A3:C3"/>
    <mergeCell ref="A8:C8"/>
    <mergeCell ref="A15:C15"/>
    <mergeCell ref="A24:C2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workbookViewId="0">
      <selection activeCell="G25" sqref="G25"/>
    </sheetView>
  </sheetViews>
  <sheetFormatPr defaultRowHeight="16.5" x14ac:dyDescent="0.2"/>
  <cols>
    <col min="1" max="1" width="18.25" style="14" customWidth="1"/>
    <col min="2" max="2" width="16.75" style="14" customWidth="1"/>
    <col min="3" max="3" width="10.625" style="14" customWidth="1"/>
    <col min="4" max="16384" width="9" style="14"/>
  </cols>
  <sheetData>
    <row r="1" spans="1:5" x14ac:dyDescent="0.2">
      <c r="B1" s="14" t="s">
        <v>36</v>
      </c>
      <c r="C1" s="14" t="s">
        <v>37</v>
      </c>
      <c r="D1" s="14" t="s">
        <v>34</v>
      </c>
      <c r="E1" s="14" t="s">
        <v>35</v>
      </c>
    </row>
    <row r="2" spans="1:5" x14ac:dyDescent="0.2">
      <c r="A2" s="5" t="s">
        <v>38</v>
      </c>
      <c r="B2" s="5"/>
      <c r="C2" s="5"/>
      <c r="D2" s="5"/>
      <c r="E2" s="5"/>
    </row>
    <row r="3" spans="1:5" x14ac:dyDescent="0.2">
      <c r="A3" s="14" t="s">
        <v>39</v>
      </c>
      <c r="B3" s="6">
        <v>35.453000000000003</v>
      </c>
      <c r="C3" s="7">
        <v>13</v>
      </c>
      <c r="D3" s="7">
        <v>12.2</v>
      </c>
      <c r="E3" s="14">
        <v>12.3</v>
      </c>
    </row>
    <row r="4" spans="1:5" x14ac:dyDescent="0.2">
      <c r="A4" s="14" t="s">
        <v>40</v>
      </c>
      <c r="B4" s="6">
        <v>46.006</v>
      </c>
      <c r="C4" s="8">
        <v>0.01</v>
      </c>
      <c r="D4" s="8">
        <v>0.01</v>
      </c>
      <c r="E4" s="2">
        <v>0.01</v>
      </c>
    </row>
    <row r="5" spans="1:5" x14ac:dyDescent="0.2">
      <c r="A5" s="14" t="s">
        <v>41</v>
      </c>
      <c r="B5" s="6">
        <v>62.005000000000003</v>
      </c>
      <c r="C5" s="7">
        <v>1.46</v>
      </c>
      <c r="D5" s="8">
        <v>0.35</v>
      </c>
      <c r="E5" s="14">
        <v>0.35</v>
      </c>
    </row>
    <row r="6" spans="1:5" x14ac:dyDescent="0.2">
      <c r="A6" s="14" t="s">
        <v>42</v>
      </c>
      <c r="B6" s="6">
        <v>96.063000000000002</v>
      </c>
      <c r="C6" s="9">
        <v>21.4</v>
      </c>
      <c r="D6" s="7">
        <v>18.7</v>
      </c>
      <c r="E6" s="14">
        <v>18.8</v>
      </c>
    </row>
    <row r="7" spans="1:5" x14ac:dyDescent="0.2">
      <c r="A7" s="14" t="s">
        <v>43</v>
      </c>
      <c r="B7" s="6">
        <v>61.017000000000003</v>
      </c>
      <c r="C7" s="4">
        <v>283.7</v>
      </c>
      <c r="D7" s="9">
        <v>279.5</v>
      </c>
      <c r="E7" s="9">
        <v>283.7</v>
      </c>
    </row>
    <row r="8" spans="1:5" x14ac:dyDescent="0.2">
      <c r="B8" s="6"/>
      <c r="C8" s="4"/>
      <c r="D8" s="9"/>
      <c r="E8" s="9"/>
    </row>
    <row r="9" spans="1:5" x14ac:dyDescent="0.2">
      <c r="A9" s="77" t="s">
        <v>44</v>
      </c>
      <c r="B9" s="77"/>
      <c r="C9" s="11">
        <f>C3/$B3+C4/$B4+C5/$B5+C6/$B6*2+C7/$B7</f>
        <v>5.485511351669798</v>
      </c>
      <c r="D9" s="11">
        <f t="shared" ref="D9:E9" si="0">D3/$B3+D4/$B4+D5/$B5+D6/$B6*2+D7/$B7</f>
        <v>5.3199980972662937</v>
      </c>
      <c r="E9" s="11">
        <f t="shared" si="0"/>
        <v>5.393733976052328</v>
      </c>
    </row>
    <row r="10" spans="1:5" x14ac:dyDescent="0.2">
      <c r="A10" s="12" t="s">
        <v>45</v>
      </c>
      <c r="B10" s="12"/>
      <c r="C10" s="12"/>
      <c r="D10" s="12"/>
      <c r="E10" s="12"/>
    </row>
    <row r="11" spans="1:5" x14ac:dyDescent="0.2">
      <c r="A11" s="14" t="s">
        <v>46</v>
      </c>
      <c r="B11" s="6">
        <v>22.99</v>
      </c>
      <c r="C11" s="14">
        <v>10.1</v>
      </c>
      <c r="D11" s="14">
        <v>8.82</v>
      </c>
      <c r="E11" s="14">
        <v>8.5299999999999994</v>
      </c>
    </row>
    <row r="12" spans="1:5" x14ac:dyDescent="0.2">
      <c r="A12" s="14" t="s">
        <v>47</v>
      </c>
      <c r="B12" s="6">
        <v>18.038</v>
      </c>
      <c r="C12" s="2">
        <v>0.1</v>
      </c>
      <c r="D12" s="2">
        <v>0.12</v>
      </c>
      <c r="E12" s="2">
        <v>0.14000000000000001</v>
      </c>
    </row>
    <row r="13" spans="1:5" x14ac:dyDescent="0.2">
      <c r="A13" s="14" t="s">
        <v>48</v>
      </c>
      <c r="B13" s="6">
        <v>39.097999999999999</v>
      </c>
      <c r="C13" s="14">
        <v>1.1299999999999999</v>
      </c>
      <c r="D13" s="14">
        <v>1.78</v>
      </c>
      <c r="E13" s="14">
        <v>1.84</v>
      </c>
    </row>
    <row r="14" spans="1:5" x14ac:dyDescent="0.2">
      <c r="A14" s="14" t="s">
        <v>49</v>
      </c>
      <c r="B14" s="6">
        <v>40.078000000000003</v>
      </c>
      <c r="C14" s="14">
        <v>93.2</v>
      </c>
      <c r="D14" s="14">
        <v>89.2</v>
      </c>
      <c r="E14" s="14">
        <v>91.5</v>
      </c>
    </row>
    <row r="15" spans="1:5" x14ac:dyDescent="0.2">
      <c r="A15" s="14" t="s">
        <v>50</v>
      </c>
      <c r="B15" s="6">
        <v>24.305</v>
      </c>
      <c r="C15" s="14">
        <v>7.71</v>
      </c>
      <c r="D15" s="14">
        <v>7.18</v>
      </c>
      <c r="E15" s="14">
        <v>7.61</v>
      </c>
    </row>
    <row r="16" spans="1:5" x14ac:dyDescent="0.2">
      <c r="A16" s="14" t="s">
        <v>63</v>
      </c>
      <c r="B16" s="6">
        <v>55.844999999999999</v>
      </c>
      <c r="C16" s="14">
        <v>0.98</v>
      </c>
      <c r="D16" s="14">
        <v>1.1299999999999999</v>
      </c>
      <c r="E16" s="14">
        <v>1.1100000000000001</v>
      </c>
    </row>
    <row r="17" spans="1:5" x14ac:dyDescent="0.2">
      <c r="B17" s="6"/>
      <c r="C17" s="7"/>
      <c r="D17" s="7"/>
      <c r="E17" s="7"/>
    </row>
    <row r="18" spans="1:5" x14ac:dyDescent="0.2">
      <c r="A18" s="77" t="s">
        <v>51</v>
      </c>
      <c r="B18" s="77"/>
      <c r="C18" s="14">
        <f>C11/$B11+C12/$B12+C13/$B13+C14/$B14*2+C15/$B15*2+C16/B16*2</f>
        <v>5.7942322176909666</v>
      </c>
      <c r="D18" s="14">
        <f>D11/$B11+D12/$B12+D13/$B13+D14/$B14*2+D15/$B15*2+D16/B16*2</f>
        <v>5.5184383256998251</v>
      </c>
      <c r="E18" s="14">
        <f>E11/$B11+E12/$B12+E13/$B13+E14/$B14*2+E15/$B15*2+E16/B16*2</f>
        <v>5.6579111054521984</v>
      </c>
    </row>
    <row r="19" spans="1:5" x14ac:dyDescent="0.2">
      <c r="A19" s="14" t="s">
        <v>52</v>
      </c>
      <c r="C19" s="13">
        <f>(C9-C18)/(C9+C18)</f>
        <v>-2.7369493297680011E-2</v>
      </c>
      <c r="D19" s="13">
        <f>(D9-D18)/(D9+D18)</f>
        <v>-1.8308935042793274E-2</v>
      </c>
      <c r="E19" s="13">
        <f>(E9-E18)/(E9+E18)</f>
        <v>-2.3903873808070797E-2</v>
      </c>
    </row>
    <row r="20" spans="1:5" x14ac:dyDescent="0.2">
      <c r="C20" s="13">
        <v>-3.8899999999999997E-2</v>
      </c>
      <c r="D20" s="13">
        <v>-2.0299999999999999E-2</v>
      </c>
      <c r="E20" s="13">
        <v>-3.2500000000000001E-2</v>
      </c>
    </row>
    <row r="21" spans="1:5" x14ac:dyDescent="0.2">
      <c r="C21" s="13">
        <f>C19-C20</f>
        <v>1.1530506702319986E-2</v>
      </c>
      <c r="D21" s="13">
        <f t="shared" ref="D21:E21" si="1">D19-D20</f>
        <v>1.9910649572067243E-3</v>
      </c>
      <c r="E21" s="13">
        <f t="shared" si="1"/>
        <v>8.5961261919292042E-3</v>
      </c>
    </row>
  </sheetData>
  <mergeCells count="2">
    <mergeCell ref="A9:B9"/>
    <mergeCell ref="A18:B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20" sqref="F20"/>
    </sheetView>
  </sheetViews>
  <sheetFormatPr defaultRowHeight="16.5" x14ac:dyDescent="0.2"/>
  <cols>
    <col min="1" max="1" width="12.375" style="10" customWidth="1"/>
    <col min="2" max="2" width="10.625" style="10" bestFit="1" customWidth="1"/>
    <col min="3" max="6" width="9.625" style="10" bestFit="1" customWidth="1"/>
    <col min="7" max="7" width="12.75" style="10" customWidth="1"/>
    <col min="8" max="8" width="32.625" style="10" customWidth="1"/>
    <col min="9" max="16384" width="9" style="10"/>
  </cols>
  <sheetData>
    <row r="1" spans="1:8" x14ac:dyDescent="0.2">
      <c r="B1" s="10" t="s">
        <v>53</v>
      </c>
      <c r="C1" s="10" t="s">
        <v>54</v>
      </c>
      <c r="D1" s="10" t="s">
        <v>55</v>
      </c>
      <c r="E1" s="10" t="s">
        <v>60</v>
      </c>
      <c r="F1" s="10" t="s">
        <v>56</v>
      </c>
      <c r="G1" s="15" t="s">
        <v>57</v>
      </c>
      <c r="H1" s="15" t="s">
        <v>58</v>
      </c>
    </row>
    <row r="2" spans="1:8" x14ac:dyDescent="0.2">
      <c r="A2" s="10" t="s">
        <v>28</v>
      </c>
      <c r="B2" s="16">
        <v>0.40372662197603559</v>
      </c>
      <c r="C2" s="16">
        <v>5.5072687375711443E-2</v>
      </c>
      <c r="D2" s="16">
        <v>8.1289371237759325E-2</v>
      </c>
      <c r="E2" s="16">
        <v>7.043847950018281E-2</v>
      </c>
      <c r="F2" s="16">
        <v>4.0211444250692091E-2</v>
      </c>
      <c r="G2" s="16"/>
    </row>
    <row r="3" spans="1:8" x14ac:dyDescent="0.2">
      <c r="A3" s="10" t="s">
        <v>59</v>
      </c>
      <c r="B3" s="16">
        <v>0.40614232902773895</v>
      </c>
      <c r="C3" s="16">
        <v>5.3907384410705188E-2</v>
      </c>
      <c r="D3" s="16">
        <v>7.8316546838238327E-2</v>
      </c>
      <c r="E3" s="16">
        <v>6.5132640460835001E-2</v>
      </c>
      <c r="F3" s="16">
        <v>3.6250415091484356E-2</v>
      </c>
      <c r="G3" s="16"/>
    </row>
    <row r="4" spans="1:8" x14ac:dyDescent="0.2">
      <c r="A4" s="10" t="s">
        <v>30</v>
      </c>
      <c r="B4" s="16">
        <v>0.40623630894844015</v>
      </c>
      <c r="C4" s="16">
        <v>5.5712508812606108E-2</v>
      </c>
      <c r="D4" s="16">
        <v>7.4394124632338507E-2</v>
      </c>
      <c r="E4" s="16">
        <v>6.4813035854041703E-2</v>
      </c>
      <c r="F4" s="16">
        <v>3.597531560608578E-2</v>
      </c>
      <c r="G4" s="1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B4" sqref="B4"/>
    </sheetView>
  </sheetViews>
  <sheetFormatPr defaultRowHeight="16.5" x14ac:dyDescent="0.2"/>
  <cols>
    <col min="1" max="1" width="19.625" style="14" customWidth="1"/>
    <col min="2" max="2" width="18" style="14" customWidth="1"/>
    <col min="3" max="3" width="26.125" style="20" customWidth="1"/>
    <col min="4" max="6" width="18" style="27" customWidth="1"/>
    <col min="7" max="7" width="18" style="14" customWidth="1"/>
    <col min="8" max="8" width="24" style="20" customWidth="1"/>
    <col min="9" max="10" width="17.75" style="27" customWidth="1"/>
    <col min="11" max="11" width="20.375" style="14" customWidth="1"/>
    <col min="12" max="12" width="24.625" style="20" customWidth="1"/>
    <col min="13" max="13" width="20.375" style="14" customWidth="1"/>
    <col min="14" max="14" width="22.375" style="14" customWidth="1"/>
    <col min="15" max="15" width="12.25" style="14" customWidth="1"/>
    <col min="16" max="16" width="16.25" style="14" customWidth="1"/>
    <col min="17" max="17" width="12.5" style="14" customWidth="1"/>
    <col min="18" max="18" width="11.75" style="14" customWidth="1"/>
    <col min="19" max="19" width="14.625" style="14" customWidth="1"/>
    <col min="20" max="20" width="10.75" style="14" customWidth="1"/>
    <col min="21" max="16384" width="9" style="14"/>
  </cols>
  <sheetData>
    <row r="1" spans="1:14" x14ac:dyDescent="0.2">
      <c r="A1" s="17"/>
      <c r="B1" s="17" t="s">
        <v>64</v>
      </c>
      <c r="C1" s="35" t="s">
        <v>72</v>
      </c>
      <c r="D1" s="17"/>
      <c r="E1" s="17"/>
      <c r="F1" s="17"/>
      <c r="G1" s="17" t="s">
        <v>65</v>
      </c>
      <c r="H1" s="35" t="s">
        <v>80</v>
      </c>
      <c r="I1" s="17"/>
      <c r="J1" s="17"/>
      <c r="K1" s="17" t="s">
        <v>66</v>
      </c>
      <c r="L1" s="38"/>
    </row>
    <row r="2" spans="1:14" x14ac:dyDescent="0.2">
      <c r="A2" s="17" t="s">
        <v>28</v>
      </c>
      <c r="B2" s="17">
        <v>8.5228845528356242E-3</v>
      </c>
      <c r="C2" s="35">
        <f>-0.496*1*(POWER(B2,0.5)/(1+(POWER(B2,0.5))-0.3*B2))</f>
        <v>-4.2018745141538902E-2</v>
      </c>
      <c r="D2" s="17"/>
      <c r="E2" s="17"/>
      <c r="F2" s="17"/>
      <c r="G2" s="17">
        <f>10^C2</f>
        <v>0.907781347416734</v>
      </c>
      <c r="H2" s="35">
        <f>-0.496*4*(POWER(B2,0.5)/(1+(POWER(B2,0.5))-0.3*B2))</f>
        <v>-0.16807498056615561</v>
      </c>
      <c r="I2" s="17"/>
      <c r="J2" s="17"/>
      <c r="K2" s="17">
        <f>10^H2</f>
        <v>0.67908637882044987</v>
      </c>
      <c r="L2" s="38"/>
    </row>
    <row r="3" spans="1:14" x14ac:dyDescent="0.2">
      <c r="A3" s="17" t="s">
        <v>59</v>
      </c>
      <c r="B3" s="17">
        <v>8.1551981794010502E-3</v>
      </c>
      <c r="C3" s="35">
        <f>-0.496*1*(POWER(B3,0.5)/(1+(POWER(B3,0.5))-0.3*B3))</f>
        <v>-4.1174287906002395E-2</v>
      </c>
      <c r="D3" s="17"/>
      <c r="E3" s="17"/>
      <c r="F3" s="17"/>
      <c r="G3" s="17">
        <f>10^C3</f>
        <v>0.90954818611071586</v>
      </c>
      <c r="H3" s="35">
        <f>-0.496*4*(POWER(B3,0.5)/(1+(POWER(B3,0.5))-0.3*B3))</f>
        <v>-0.16469715162400958</v>
      </c>
      <c r="I3" s="17"/>
      <c r="J3" s="17"/>
      <c r="K3" s="17">
        <f>10^H3</f>
        <v>0.68438872855596133</v>
      </c>
      <c r="L3" s="38"/>
    </row>
    <row r="4" spans="1:14" x14ac:dyDescent="0.2">
      <c r="A4" s="17" t="s">
        <v>30</v>
      </c>
      <c r="B4" s="17">
        <v>8.3375653082686102E-3</v>
      </c>
      <c r="C4" s="35">
        <f>-0.496*1*(POWER(B4,0.5)/(1+(POWER(B4,0.5))-0.3*B4))</f>
        <v>-4.1595811254503387E-2</v>
      </c>
      <c r="D4" s="17"/>
      <c r="E4" s="17"/>
      <c r="F4" s="17"/>
      <c r="G4" s="17">
        <f>10^C4</f>
        <v>0.90866581294579818</v>
      </c>
      <c r="H4" s="35">
        <f>-0.496*4*(POWER(B4,0.5)/(1+(POWER(B4,0.5))-0.3*B4))</f>
        <v>-0.16638324501801355</v>
      </c>
      <c r="I4" s="17"/>
      <c r="J4" s="17"/>
      <c r="K4" s="17">
        <f>10^H4</f>
        <v>0.68173682704969674</v>
      </c>
      <c r="L4" s="38"/>
    </row>
    <row r="6" spans="1:14" x14ac:dyDescent="0.2">
      <c r="A6" s="17"/>
      <c r="B6" s="17" t="s">
        <v>61</v>
      </c>
      <c r="C6" s="36" t="s">
        <v>102</v>
      </c>
      <c r="D6" s="19" t="s">
        <v>101</v>
      </c>
      <c r="E6" s="17" t="s">
        <v>72</v>
      </c>
      <c r="F6" s="52" t="s">
        <v>159</v>
      </c>
      <c r="G6" s="17" t="s">
        <v>59</v>
      </c>
      <c r="H6" s="36" t="s">
        <v>157</v>
      </c>
      <c r="I6" s="17" t="s">
        <v>72</v>
      </c>
      <c r="J6" s="52" t="s">
        <v>159</v>
      </c>
      <c r="K6" s="17" t="s">
        <v>62</v>
      </c>
      <c r="L6" s="36" t="s">
        <v>158</v>
      </c>
      <c r="M6" s="17" t="s">
        <v>72</v>
      </c>
      <c r="N6" s="52" t="s">
        <v>159</v>
      </c>
    </row>
    <row r="7" spans="1:14" s="40" customFormat="1" x14ac:dyDescent="0.2">
      <c r="A7" s="39" t="s">
        <v>67</v>
      </c>
      <c r="B7" s="39">
        <v>4.6495360952812375</v>
      </c>
      <c r="C7" s="39">
        <f t="shared" ref="C7:C19" si="0">B7*F7</f>
        <v>4.2399494518263392</v>
      </c>
      <c r="D7" s="39">
        <v>4</v>
      </c>
      <c r="E7" s="39">
        <f>-0.486*POWER($B$2,0.5)*1/(1+0.3258*POWER($B$2,0.5)*D7)</f>
        <v>-4.0048944559600841E-2</v>
      </c>
      <c r="F7" s="39">
        <f>POWER(10,E7)</f>
        <v>0.9119080624257152</v>
      </c>
      <c r="G7" s="39">
        <v>4.5807026388124985</v>
      </c>
      <c r="H7" s="39">
        <f>G7*J7</f>
        <v>4.1847025295707851</v>
      </c>
      <c r="I7" s="39">
        <f>-0.486*POWER($B$3,0.5)*1/(1+0.3258*POWER($B$3,0.5)*D7)</f>
        <v>-3.92675084875223E-2</v>
      </c>
      <c r="J7" s="39">
        <f>POWER(10,I7)</f>
        <v>0.91355035668842877</v>
      </c>
      <c r="K7" s="39">
        <v>4.6495360952812375</v>
      </c>
      <c r="L7" s="39">
        <f>K7*N7</f>
        <v>4.2437708203558726</v>
      </c>
      <c r="M7" s="39">
        <f>-0.486*POWER($B$4,0.5)*1/(1+0.3258*POWER($B$4,0.5)*D7)</f>
        <v>-3.9657701254850054E-2</v>
      </c>
      <c r="N7" s="39">
        <f>POWER(10,M7)</f>
        <v>0.91272994410406416</v>
      </c>
    </row>
    <row r="8" spans="1:14" s="40" customFormat="1" x14ac:dyDescent="0.2">
      <c r="A8" s="39"/>
      <c r="B8" s="39">
        <v>4.6495360952812375</v>
      </c>
      <c r="C8" s="39">
        <f t="shared" si="0"/>
        <v>4.2425570558693169</v>
      </c>
      <c r="D8" s="39">
        <v>4.25</v>
      </c>
      <c r="E8" s="39">
        <f>-0.486*POWER($B$2,0.5)*1/(1+0.3258*POWER($B$2,0.5)*D8)</f>
        <v>-3.9781931953951889E-2</v>
      </c>
      <c r="F8" s="39">
        <f>POWER(10,E8)</f>
        <v>0.91246889343972215</v>
      </c>
      <c r="G8" s="39">
        <v>4.5807026388124985</v>
      </c>
      <c r="H8" s="39">
        <f>G8*J8</f>
        <v>4.187176995384938</v>
      </c>
      <c r="I8" s="39">
        <f>-0.486*POWER($B$3,0.5)*1/(1+0.3258*POWER($B$3,0.5)*D8)</f>
        <v>-3.9010780741539831E-2</v>
      </c>
      <c r="J8" s="39">
        <f>POWER(10,I8)</f>
        <v>0.91409055019350094</v>
      </c>
      <c r="K8" s="39">
        <v>4.6495360952812375</v>
      </c>
      <c r="L8" s="39">
        <f>K8*N8</f>
        <v>4.2463301811463996</v>
      </c>
      <c r="M8" s="39">
        <f>-0.486*POWER($B$4,0.5)*1/(1+0.3258*POWER($B$4,0.5)*D8)</f>
        <v>-3.9395863073655779E-2</v>
      </c>
      <c r="N8" s="39">
        <f>POWER(10,M8)</f>
        <v>0.91328039918992188</v>
      </c>
    </row>
    <row r="9" spans="1:14" s="31" customFormat="1" x14ac:dyDescent="0.2">
      <c r="A9" s="28" t="s">
        <v>69</v>
      </c>
      <c r="B9" s="28">
        <v>0.36668265026937069</v>
      </c>
      <c r="C9" s="37">
        <f t="shared" si="0"/>
        <v>0.33353125262644934</v>
      </c>
      <c r="D9" s="28">
        <v>3</v>
      </c>
      <c r="E9" s="28">
        <f>-0.486*POWER($B$2,0.5)*1/(1+0.3258*POWER($B$2,0.5)*D9)</f>
        <v>-4.1153827109978891E-2</v>
      </c>
      <c r="F9" s="30">
        <f>POWER(10,E9)</f>
        <v>0.90959103841273148</v>
      </c>
      <c r="G9" s="28">
        <v>0.34411756409894784</v>
      </c>
      <c r="H9" s="37">
        <f t="shared" ref="H9:H19" si="1">G9*J9</f>
        <v>0.31360120067343966</v>
      </c>
      <c r="I9" s="28">
        <f>-0.486*POWER($B$3,0.5)*1/(1+0.3258*POWER($B$3,0.5)*D9)</f>
        <v>-4.0329123221216387E-2</v>
      </c>
      <c r="J9" s="30">
        <f t="shared" ref="J9:J19" si="2">POWER(10,I9)</f>
        <v>0.91131994815372608</v>
      </c>
      <c r="K9" s="28">
        <v>0.34693819987025076</v>
      </c>
      <c r="L9" s="37">
        <f t="shared" ref="L9:L19" si="3">K9*N9</f>
        <v>0.31587213141490134</v>
      </c>
      <c r="M9" s="30">
        <f>-0.486*POWER($B$4,0.5)*1/(1+0.3258*POWER($B$4,0.5)*D9)</f>
        <v>-4.0740809857760303E-2</v>
      </c>
      <c r="N9" s="30">
        <f t="shared" ref="N9:N19" si="4">POWER(10,M9)</f>
        <v>0.91045647764654447</v>
      </c>
    </row>
    <row r="10" spans="1:14" s="56" customFormat="1" x14ac:dyDescent="0.2">
      <c r="A10" s="53" t="s">
        <v>70</v>
      </c>
      <c r="B10" s="53">
        <v>2.1736531501668281E-4</v>
      </c>
      <c r="C10" s="54">
        <f t="shared" si="0"/>
        <v>1.9771354260093502E-4</v>
      </c>
      <c r="D10" s="55">
        <v>3</v>
      </c>
      <c r="E10" s="55">
        <f>-0.486*POWER($B$2,0.5)*1/(1+0.3258*POWER($B$2,0.5)*D10)</f>
        <v>-4.1153827109978891E-2</v>
      </c>
      <c r="F10" s="54">
        <f>POWER(10,E10)</f>
        <v>0.90959103841273148</v>
      </c>
      <c r="G10" s="53">
        <v>2.1736531501668281E-4</v>
      </c>
      <c r="H10" s="54">
        <f t="shared" si="1"/>
        <v>1.9808934761142172E-4</v>
      </c>
      <c r="I10" s="55">
        <f>-0.486*POWER($B$3,0.5)*1/(1+0.3258*POWER($B$3,0.5)*D10)</f>
        <v>-4.0329123221216387E-2</v>
      </c>
      <c r="J10" s="54">
        <f t="shared" si="2"/>
        <v>0.91131994815372608</v>
      </c>
      <c r="K10" s="53">
        <v>2.1736531501668281E-4</v>
      </c>
      <c r="L10" s="54">
        <f t="shared" si="3"/>
        <v>1.9790165907262056E-4</v>
      </c>
      <c r="M10" s="54">
        <f>-0.486*POWER($B$4,0.5)*1/(1+0.3258*POWER($B$4,0.5)*D10)</f>
        <v>-4.0740809857760303E-2</v>
      </c>
      <c r="N10" s="54">
        <f t="shared" si="4"/>
        <v>0.91045647764654447</v>
      </c>
    </row>
    <row r="11" spans="1:14" s="31" customFormat="1" x14ac:dyDescent="0.2">
      <c r="A11" s="28" t="s">
        <v>71</v>
      </c>
      <c r="B11" s="28">
        <v>2.3546526161642062E-2</v>
      </c>
      <c r="C11" s="37">
        <f t="shared" si="0"/>
        <v>2.1417709182380552E-2</v>
      </c>
      <c r="D11" s="28">
        <v>3</v>
      </c>
      <c r="E11" s="28">
        <f>-0.486*POWER($B$2,0.5)*1/(1+0.3258*POWER($B$2,0.5)*D11)</f>
        <v>-4.1153827109978891E-2</v>
      </c>
      <c r="F11" s="30">
        <f t="shared" ref="F11:F19" si="5">POWER(10,E11)</f>
        <v>0.90959103841273148</v>
      </c>
      <c r="G11" s="28">
        <v>5.6447151757361112E-3</v>
      </c>
      <c r="H11" s="37">
        <f t="shared" si="1"/>
        <v>5.144141541294384E-3</v>
      </c>
      <c r="I11" s="28">
        <f>-0.486*POWER($B$3,0.5)*1/(1+0.3258*POWER($B$3,0.5)*D11)</f>
        <v>-4.0329123221216387E-2</v>
      </c>
      <c r="J11" s="30">
        <f t="shared" si="2"/>
        <v>0.91131994815372608</v>
      </c>
      <c r="K11" s="28">
        <v>5.6447151757361112E-3</v>
      </c>
      <c r="L11" s="75">
        <f t="shared" si="3"/>
        <v>5.1392674962186949E-3</v>
      </c>
      <c r="M11" s="30">
        <f>-0.486*POWER($B$4,0.5)*1/(1+0.3258*POWER($B$4,0.5)*D11)</f>
        <v>-4.0740809857760303E-2</v>
      </c>
      <c r="N11" s="30">
        <f t="shared" si="4"/>
        <v>0.91045647764654447</v>
      </c>
    </row>
    <row r="12" spans="1:14" s="34" customFormat="1" ht="15.75" customHeight="1" x14ac:dyDescent="0.2">
      <c r="A12" s="29" t="s">
        <v>73</v>
      </c>
      <c r="B12" s="29">
        <v>0.22277140114883417</v>
      </c>
      <c r="C12" s="37">
        <f t="shared" si="0"/>
        <v>0.15405069364984886</v>
      </c>
      <c r="D12" s="29">
        <v>4</v>
      </c>
      <c r="E12" s="29">
        <f>-0.486*POWER($B$2,0.5)*4/(1+0.3258*POWER($B$2,0.5)*D12)</f>
        <v>-0.16019577823840336</v>
      </c>
      <c r="F12" s="30">
        <f t="shared" si="5"/>
        <v>0.69151916653308287</v>
      </c>
      <c r="G12" s="29">
        <v>0.194664729041271</v>
      </c>
      <c r="H12" s="37">
        <f t="shared" si="1"/>
        <v>0.13558674524880227</v>
      </c>
      <c r="I12" s="29">
        <f>-0.486*POWER($B$3,0.5)*4/(1+0.3258*POWER($B$3,0.5)*D12)</f>
        <v>-0.1570700339500892</v>
      </c>
      <c r="J12" s="30">
        <f t="shared" si="2"/>
        <v>0.69651418578275892</v>
      </c>
      <c r="K12" s="29">
        <v>0.19570571689710667</v>
      </c>
      <c r="L12" s="75">
        <f t="shared" si="3"/>
        <v>0.13582280877548719</v>
      </c>
      <c r="M12" s="30">
        <f>-0.486*POWER($B$4,0.5)*4/(1+0.3258*POWER($B$4,0.5)*D12)</f>
        <v>-0.15863080501940022</v>
      </c>
      <c r="N12" s="30">
        <f t="shared" si="4"/>
        <v>0.69401553990830411</v>
      </c>
    </row>
    <row r="13" spans="1:14" s="40" customFormat="1" x14ac:dyDescent="0.2">
      <c r="A13" s="39" t="s">
        <v>74</v>
      </c>
      <c r="B13" s="39">
        <v>0.43932526598752492</v>
      </c>
      <c r="C13" s="39">
        <f t="shared" si="0"/>
        <v>0.40062425208134583</v>
      </c>
      <c r="D13" s="39">
        <v>4</v>
      </c>
      <c r="E13" s="39">
        <f>-0.486*POWER($B$2,0.5)*1/(1+0.3258*POWER($B$2,0.5)*D13)</f>
        <v>-4.0048944559600841E-2</v>
      </c>
      <c r="F13" s="39">
        <f t="shared" si="5"/>
        <v>0.9119080624257152</v>
      </c>
      <c r="G13" s="39">
        <v>0.38364840059504651</v>
      </c>
      <c r="H13" s="39">
        <f t="shared" si="1"/>
        <v>0.35048213320654997</v>
      </c>
      <c r="I13" s="39">
        <f>-0.486*POWER($B$3,0.5)*1/(1+0.3258*POWER($B$3,0.5)*D13)</f>
        <v>-3.92675084875223E-2</v>
      </c>
      <c r="J13" s="39">
        <f t="shared" si="2"/>
        <v>0.91355035668842877</v>
      </c>
      <c r="K13" s="39">
        <v>0.37103411077956311</v>
      </c>
      <c r="L13" s="39">
        <f t="shared" si="3"/>
        <v>0.33865394319253178</v>
      </c>
      <c r="M13" s="39">
        <f>-0.486*POWER($B$4,0.5)*1/(1+0.3258*POWER($B$4,0.5)*D13)</f>
        <v>-3.9657701254850054E-2</v>
      </c>
      <c r="N13" s="39">
        <f t="shared" si="4"/>
        <v>0.91272994410406416</v>
      </c>
    </row>
    <row r="14" spans="1:14" s="40" customFormat="1" x14ac:dyDescent="0.2">
      <c r="A14" s="39"/>
      <c r="B14" s="39">
        <v>0.43932526598752492</v>
      </c>
      <c r="C14" s="39">
        <f>B14*F14</f>
        <v>0.40087063931574846</v>
      </c>
      <c r="D14" s="39">
        <v>4.25</v>
      </c>
      <c r="E14" s="39">
        <f>-0.486*POWER($B$2,0.5)*1/(1+0.3258*POWER($B$2,0.5)*D14)</f>
        <v>-3.9781931953951889E-2</v>
      </c>
      <c r="F14" s="39">
        <f t="shared" si="5"/>
        <v>0.91246889343972215</v>
      </c>
      <c r="G14" s="39">
        <v>0.38364840059504651</v>
      </c>
      <c r="H14" s="39">
        <f t="shared" si="1"/>
        <v>0.35068937758078272</v>
      </c>
      <c r="I14" s="39">
        <f>-0.486*POWER($B$3,0.5)*1/(1+0.3258*POWER($B$3,0.5)*D14)</f>
        <v>-3.9010780741539831E-2</v>
      </c>
      <c r="J14" s="39">
        <f t="shared" si="2"/>
        <v>0.91409055019350094</v>
      </c>
      <c r="K14" s="39">
        <v>0.37103411077956311</v>
      </c>
      <c r="L14" s="39">
        <f>K14*N14</f>
        <v>0.33885818080583707</v>
      </c>
      <c r="M14" s="39">
        <f>-0.486*POWER($B$4,0.5)*1/(1+0.3258*POWER($B$4,0.5)*D14)</f>
        <v>-3.9395863073655779E-2</v>
      </c>
      <c r="N14" s="39">
        <f t="shared" si="4"/>
        <v>0.91328039918992188</v>
      </c>
    </row>
    <row r="15" spans="1:14" s="15" customFormat="1" x14ac:dyDescent="0.2">
      <c r="A15" s="19" t="s">
        <v>75</v>
      </c>
      <c r="B15" s="19">
        <v>5.5437104941330915E-3</v>
      </c>
      <c r="C15" s="37">
        <f t="shared" si="0"/>
        <v>5.0358303714758326E-3</v>
      </c>
      <c r="D15" s="19">
        <v>2.5</v>
      </c>
      <c r="E15" s="30">
        <f>-0.486*POWER($B$2,0.5)*1/(1+0.3258*POWER($B$2,0.5)*D15)</f>
        <v>-4.1729449528090982E-2</v>
      </c>
      <c r="F15" s="30">
        <f t="shared" si="5"/>
        <v>0.90838624722651939</v>
      </c>
      <c r="G15" s="19">
        <v>6.6524525929597088E-3</v>
      </c>
      <c r="H15" s="37">
        <f t="shared" si="1"/>
        <v>6.0548032708324208E-3</v>
      </c>
      <c r="I15" s="30">
        <f>-0.486*POWER($B$3,0.5)*1/(1+0.3258*POWER($B$3,0.5)*D15)</f>
        <v>-4.0881751480334662E-2</v>
      </c>
      <c r="J15" s="30">
        <f t="shared" si="2"/>
        <v>0.91016105507316503</v>
      </c>
      <c r="K15" s="19">
        <v>7.7611946917863278E-3</v>
      </c>
      <c r="L15" s="37">
        <f t="shared" si="3"/>
        <v>7.0570585512780767E-3</v>
      </c>
      <c r="M15" s="30">
        <f>-0.486*POWER($B$4,0.5)*1/(1+0.3258*POWER($B$4,0.5)*D15)</f>
        <v>-4.1304857253571629E-2</v>
      </c>
      <c r="N15" s="30">
        <f t="shared" si="4"/>
        <v>0.90927477424919667</v>
      </c>
    </row>
    <row r="16" spans="1:14" s="31" customFormat="1" x14ac:dyDescent="0.2">
      <c r="A16" s="28" t="s">
        <v>76</v>
      </c>
      <c r="B16" s="28">
        <v>2.8901512341968829E-2</v>
      </c>
      <c r="C16" s="37">
        <f t="shared" si="0"/>
        <v>2.6288556622829803E-2</v>
      </c>
      <c r="D16" s="28">
        <v>3</v>
      </c>
      <c r="E16" s="28">
        <f>-0.486*POWER($B$2,0.5)*1/(1+0.3258*POWER($B$2,0.5)*D16)</f>
        <v>-4.1153827109978891E-2</v>
      </c>
      <c r="F16" s="30">
        <f t="shared" si="5"/>
        <v>0.90959103841273148</v>
      </c>
      <c r="G16" s="28">
        <v>4.5526276078499572E-2</v>
      </c>
      <c r="H16" s="37">
        <f t="shared" si="1"/>
        <v>4.1489003555490449E-2</v>
      </c>
      <c r="I16" s="28">
        <f>-0.486*POWER($B$3,0.5)*1/(1+0.3258*POWER($B$3,0.5)*D16)</f>
        <v>-4.0329123221216387E-2</v>
      </c>
      <c r="J16" s="30">
        <f t="shared" si="2"/>
        <v>0.91131994815372608</v>
      </c>
      <c r="K16" s="28">
        <v>4.7060869654179341E-2</v>
      </c>
      <c r="L16" s="37">
        <f t="shared" si="3"/>
        <v>4.2846873620327276E-2</v>
      </c>
      <c r="M16" s="30">
        <f>-0.486*POWER($B$4,0.5)*1/(1+0.3258*POWER($B$4,0.5)*D16)</f>
        <v>-4.0740809857760303E-2</v>
      </c>
      <c r="N16" s="30">
        <f t="shared" si="4"/>
        <v>0.91045647764654447</v>
      </c>
    </row>
    <row r="17" spans="1:14" s="33" customFormat="1" x14ac:dyDescent="0.2">
      <c r="A17" s="32" t="s">
        <v>77</v>
      </c>
      <c r="B17" s="32">
        <v>2.3254653425819649</v>
      </c>
      <c r="C17" s="37">
        <f t="shared" si="0"/>
        <v>1.6386171997569552</v>
      </c>
      <c r="D17" s="32">
        <v>6</v>
      </c>
      <c r="E17" s="32">
        <f>-0.486*POWER($B$2,0.5)*4/(1+0.3258*POWER($B$2,0.5)*D17)</f>
        <v>-0.15203236229446199</v>
      </c>
      <c r="F17" s="30">
        <f t="shared" si="5"/>
        <v>0.70464055935471304</v>
      </c>
      <c r="G17" s="32">
        <v>2.2256599630720095</v>
      </c>
      <c r="H17" s="37">
        <f t="shared" si="1"/>
        <v>1.5784998498432543</v>
      </c>
      <c r="I17" s="32">
        <f>-0.486*POWER($B$3,0.5)*4/(1+0.3258*POWER($B$3,0.5)*D17)</f>
        <v>-0.14921426852354758</v>
      </c>
      <c r="J17" s="30">
        <f t="shared" si="2"/>
        <v>0.70922776885670347</v>
      </c>
      <c r="K17" s="32">
        <v>2.2830480562902338</v>
      </c>
      <c r="L17" s="75">
        <f t="shared" si="3"/>
        <v>1.613960609709022</v>
      </c>
      <c r="M17" s="30">
        <f>-0.486*POWER($B$4,0.5)*4/(1+0.3258*POWER($B$4,0.5)*D17)</f>
        <v>-0.15062212199652422</v>
      </c>
      <c r="N17" s="30">
        <f t="shared" si="4"/>
        <v>0.70693238596631902</v>
      </c>
    </row>
    <row r="18" spans="1:14" s="34" customFormat="1" x14ac:dyDescent="0.2">
      <c r="A18" s="29" t="s">
        <v>78</v>
      </c>
      <c r="B18" s="29">
        <v>0.31721867928409792</v>
      </c>
      <c r="C18" s="37">
        <f t="shared" si="0"/>
        <v>0.22735167038602724</v>
      </c>
      <c r="D18" s="29">
        <v>8</v>
      </c>
      <c r="E18" s="29">
        <f>-0.486*POWER($B$2,0.5)*4/(1+0.3258*POWER($B$2,0.5)*D18)</f>
        <v>-0.14466060326236849</v>
      </c>
      <c r="F18" s="30">
        <f t="shared" si="5"/>
        <v>0.71670328777333236</v>
      </c>
      <c r="G18" s="29">
        <v>0.29541246657066444</v>
      </c>
      <c r="H18" s="37">
        <f t="shared" si="1"/>
        <v>0.21297172189437169</v>
      </c>
      <c r="I18" s="29">
        <f>-0.486*POWER($B$3,0.5)*4/(1+0.3258*POWER($B$3,0.5)*D18)</f>
        <v>-0.14210687661612917</v>
      </c>
      <c r="J18" s="30">
        <f t="shared" si="2"/>
        <v>0.72093004187224297</v>
      </c>
      <c r="K18" s="29">
        <v>0.31310429952684632</v>
      </c>
      <c r="L18" s="75">
        <f t="shared" si="3"/>
        <v>0.22506387853306795</v>
      </c>
      <c r="M18" s="30">
        <f>-0.486*POWER($B$4,0.5)*4/(1+0.3258*POWER($B$4,0.5)*D18)</f>
        <v>-0.14338323255036189</v>
      </c>
      <c r="N18" s="30">
        <f t="shared" si="4"/>
        <v>0.71881439786415458</v>
      </c>
    </row>
    <row r="19" spans="1:14" s="33" customFormat="1" x14ac:dyDescent="0.2">
      <c r="A19" s="32" t="s">
        <v>79</v>
      </c>
      <c r="B19" s="32">
        <v>1.7548571940191601E-2</v>
      </c>
      <c r="C19" s="37">
        <f t="shared" si="0"/>
        <v>1.2365435547813032E-2</v>
      </c>
      <c r="D19" s="32">
        <v>6</v>
      </c>
      <c r="E19" s="32">
        <f>-0.486*POWER($B$2,0.5)*4/(1+0.3258*POWER($B$2,0.5)*D19)</f>
        <v>-0.15203236229446199</v>
      </c>
      <c r="F19" s="30">
        <f t="shared" si="5"/>
        <v>0.70464055935471304</v>
      </c>
      <c r="G19" s="32">
        <v>2.0234577849404599E-2</v>
      </c>
      <c r="H19" s="37">
        <f t="shared" si="1"/>
        <v>1.4350924501890497E-2</v>
      </c>
      <c r="I19" s="32">
        <f>-0.486*POWER($B$3,0.5)*4/(1+0.3258*POWER($B$3,0.5)*D19)</f>
        <v>-0.14921426852354758</v>
      </c>
      <c r="J19" s="30">
        <f t="shared" si="2"/>
        <v>0.70922776885670347</v>
      </c>
      <c r="K19" s="32">
        <v>1.9876443728176204E-2</v>
      </c>
      <c r="L19" s="75">
        <f t="shared" si="3"/>
        <v>1.4051301789284881E-2</v>
      </c>
      <c r="M19" s="30">
        <f>-0.486*POWER($B$4,0.5)*4/(1+0.3258*POWER($B$4,0.5)*D19)</f>
        <v>-0.15062212199652422</v>
      </c>
      <c r="N19" s="30">
        <f t="shared" si="4"/>
        <v>0.70693238596631902</v>
      </c>
    </row>
    <row r="21" spans="1:14" x14ac:dyDescent="0.2">
      <c r="A21" s="20" t="s">
        <v>156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3" sqref="B3"/>
    </sheetView>
  </sheetViews>
  <sheetFormatPr defaultRowHeight="16.5" x14ac:dyDescent="0.2"/>
  <cols>
    <col min="1" max="1" width="32.375" style="18" customWidth="1"/>
    <col min="2" max="2" width="25.875" style="18" customWidth="1"/>
    <col min="3" max="3" width="35.125" style="18" customWidth="1"/>
    <col min="4" max="4" width="76.375" style="18" customWidth="1"/>
    <col min="5" max="5" width="28.75" style="18" customWidth="1"/>
    <col min="6" max="6" width="28.25" style="18" bestFit="1" customWidth="1"/>
    <col min="7" max="16384" width="9" style="18"/>
  </cols>
  <sheetData>
    <row r="1" spans="1:4" x14ac:dyDescent="0.2">
      <c r="A1" s="17"/>
      <c r="B1" s="17" t="s">
        <v>88</v>
      </c>
      <c r="C1" s="17" t="s">
        <v>89</v>
      </c>
      <c r="D1" s="17" t="s">
        <v>90</v>
      </c>
    </row>
    <row r="2" spans="1:4" x14ac:dyDescent="0.2">
      <c r="A2" s="44" t="s">
        <v>82</v>
      </c>
      <c r="B2" s="17">
        <f>LOG10((B9*(10^(-3))*B13/(10^(-8.36))))</f>
        <v>-0.11146893146355287</v>
      </c>
      <c r="C2" s="17">
        <f>10^((C9*(10^(-3))*E17/(10^(-8.36))))</f>
        <v>5.454673043684692</v>
      </c>
      <c r="D2" s="17">
        <f>10^((D9*(10^(-3))*F17/(10^(-8.36))))</f>
        <v>5.7985009283024818</v>
      </c>
    </row>
    <row r="3" spans="1:4" x14ac:dyDescent="0.2">
      <c r="A3" s="17" t="s">
        <v>83</v>
      </c>
      <c r="B3" s="17">
        <f>LOG10((B10*(10^(-3))*B13/(2*10^(-11))))</f>
        <v>0.10523298187404094</v>
      </c>
      <c r="C3" s="17">
        <f>10^((C10*(10^(-3))*E17/(2*10^(-11))))</f>
        <v>28.970998840288736</v>
      </c>
      <c r="D3" s="17">
        <f>10^((D10*(10^(-3))*F17/(2*10^(-11))))</f>
        <v>28.211981178080897</v>
      </c>
    </row>
    <row r="4" spans="1:4" x14ac:dyDescent="0.2">
      <c r="A4" s="45" t="s">
        <v>84</v>
      </c>
      <c r="B4" s="45">
        <f>LOG10((B11*(10^(-3))*B13/(2.6*10^(-5))))</f>
        <v>-4.6223603423369957</v>
      </c>
      <c r="C4" s="45">
        <f>10^((C11*(10^(-3))*E17/(2.6*10^(-5))))</f>
        <v>1.000037805217143</v>
      </c>
      <c r="D4" s="45">
        <f>10^((D11*(10^(-3))*F17/(2.6*10^(-5))))</f>
        <v>1.0000404696379805</v>
      </c>
    </row>
    <row r="5" spans="1:4" x14ac:dyDescent="0.2">
      <c r="A5" s="19" t="s">
        <v>85</v>
      </c>
      <c r="B5" s="19">
        <f>LOG((B11*(10^(-3))*B12/(6.1*10^(-5))))</f>
        <v>-0.15150007241689378</v>
      </c>
      <c r="C5" s="19">
        <f t="shared" ref="C5:D5" si="0">10^((C11*(10^(-3))*C12/(6.1*10^(-5))))</f>
        <v>2.711453924265359</v>
      </c>
      <c r="D5" s="19">
        <f t="shared" si="0"/>
        <v>2.8703936596424739</v>
      </c>
    </row>
    <row r="6" spans="1:4" x14ac:dyDescent="0.2">
      <c r="A6" s="19" t="s">
        <v>104</v>
      </c>
      <c r="B6" s="19" t="s">
        <v>103</v>
      </c>
      <c r="C6" s="19" t="s">
        <v>105</v>
      </c>
      <c r="D6" s="19"/>
    </row>
    <row r="7" spans="1:4" x14ac:dyDescent="0.2">
      <c r="A7" s="35" t="s">
        <v>112</v>
      </c>
      <c r="B7" s="17"/>
      <c r="C7" s="17"/>
      <c r="D7" s="17"/>
    </row>
    <row r="8" spans="1:4" x14ac:dyDescent="0.2">
      <c r="A8" s="35" t="s">
        <v>113</v>
      </c>
      <c r="B8" s="17"/>
      <c r="C8" s="17"/>
      <c r="D8" s="17"/>
    </row>
    <row r="9" spans="1:4" x14ac:dyDescent="0.2">
      <c r="A9" s="17" t="s">
        <v>94</v>
      </c>
      <c r="B9" s="17">
        <v>1.5638645326046796</v>
      </c>
      <c r="C9" s="17">
        <v>1.5087282696007225</v>
      </c>
      <c r="D9" s="17">
        <v>1.5414827956805657</v>
      </c>
    </row>
    <row r="10" spans="1:4" x14ac:dyDescent="0.2">
      <c r="A10" s="17" t="s">
        <v>95</v>
      </c>
      <c r="B10" s="17">
        <v>1.1801332297929115E-2</v>
      </c>
      <c r="C10" s="17">
        <v>1.3716596484350552E-2</v>
      </c>
      <c r="D10" s="17">
        <v>1.3420302722879468E-2</v>
      </c>
    </row>
    <row r="11" spans="1:4" x14ac:dyDescent="0.2">
      <c r="A11" s="17" t="s">
        <v>96</v>
      </c>
      <c r="B11" s="17">
        <v>0.28726390994082518</v>
      </c>
      <c r="C11" s="17">
        <v>0.2002539232868519</v>
      </c>
      <c r="D11" s="17">
        <v>0.21140373705427243</v>
      </c>
    </row>
    <row r="12" spans="1:4" x14ac:dyDescent="0.2">
      <c r="A12" s="17" t="s">
        <v>97</v>
      </c>
      <c r="B12" s="17">
        <v>0.14981272210597643</v>
      </c>
      <c r="C12" s="17">
        <v>0.13195914230912009</v>
      </c>
      <c r="D12" s="17">
        <v>0.13213782109493646</v>
      </c>
    </row>
    <row r="13" spans="1:4" x14ac:dyDescent="0.2">
      <c r="A13" s="17" t="s">
        <v>87</v>
      </c>
      <c r="B13" s="46">
        <v>2.1593942384591157E-6</v>
      </c>
      <c r="C13" s="47">
        <v>2.1316708855700045E-6</v>
      </c>
      <c r="D13" s="46">
        <v>2.1615512188943178E-6</v>
      </c>
    </row>
    <row r="14" spans="1:4" x14ac:dyDescent="0.2">
      <c r="A14" s="45" t="s">
        <v>91</v>
      </c>
      <c r="B14" s="45">
        <v>4.2104831946081456</v>
      </c>
      <c r="C14" s="45">
        <v>4.1564269646901257</v>
      </c>
      <c r="D14" s="45">
        <v>4.2146889712615083</v>
      </c>
    </row>
    <row r="15" spans="1:4" x14ac:dyDescent="0.2">
      <c r="A15" s="45"/>
      <c r="B15" s="45"/>
      <c r="C15" s="45"/>
      <c r="D15" s="45"/>
    </row>
    <row r="16" spans="1:4" x14ac:dyDescent="0.2">
      <c r="A16" s="17"/>
      <c r="B16" s="17"/>
      <c r="C16" s="17"/>
      <c r="D16" s="17"/>
    </row>
    <row r="17" spans="1:6" x14ac:dyDescent="0.2">
      <c r="A17" s="17" t="s">
        <v>93</v>
      </c>
      <c r="B17" s="46">
        <f>10^(-10.49)</f>
        <v>3.2359365692962733E-11</v>
      </c>
      <c r="C17" s="17" t="s">
        <v>86</v>
      </c>
      <c r="D17" s="48">
        <f>10^(-10.49)*B14/(10^(-7.2))*10^(-3)</f>
        <v>2.1593942384591157E-6</v>
      </c>
      <c r="E17" s="26">
        <f t="shared" ref="E17:F17" si="1">10^(-10.49)*C14/(10^(-7.2))*10^(-3)</f>
        <v>2.1316708855700045E-6</v>
      </c>
      <c r="F17" s="21">
        <f t="shared" si="1"/>
        <v>2.1615512188943178E-6</v>
      </c>
    </row>
    <row r="18" spans="1:6" x14ac:dyDescent="0.2">
      <c r="B18" s="22"/>
      <c r="D18" s="23"/>
      <c r="E18" s="25"/>
      <c r="F18" s="24"/>
    </row>
    <row r="37" spans="1:2" x14ac:dyDescent="0.2">
      <c r="A37" s="18" t="s">
        <v>99</v>
      </c>
      <c r="B37" s="15" t="s">
        <v>100</v>
      </c>
    </row>
    <row r="38" spans="1:2" x14ac:dyDescent="0.2">
      <c r="A38" s="18" t="s">
        <v>98</v>
      </c>
      <c r="B38" s="15"/>
    </row>
    <row r="39" spans="1:2" x14ac:dyDescent="0.2">
      <c r="A39" s="20" t="s">
        <v>81</v>
      </c>
      <c r="B39" s="15" t="s">
        <v>92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J27" sqref="J27"/>
    </sheetView>
  </sheetViews>
  <sheetFormatPr defaultRowHeight="14.25" x14ac:dyDescent="0.2"/>
  <cols>
    <col min="1" max="1" width="16.625" customWidth="1"/>
    <col min="3" max="4" width="11.625" bestFit="1" customWidth="1"/>
    <col min="6" max="6" width="11.625" bestFit="1" customWidth="1"/>
    <col min="7" max="7" width="25.375" style="60" customWidth="1"/>
    <col min="8" max="8" width="11.75" bestFit="1" customWidth="1"/>
    <col min="10" max="10" width="11.75" bestFit="1" customWidth="1"/>
    <col min="12" max="12" width="15.5" customWidth="1"/>
    <col min="13" max="14" width="13.5" bestFit="1" customWidth="1"/>
  </cols>
  <sheetData>
    <row r="1" spans="1:14" ht="16.5" x14ac:dyDescent="0.2">
      <c r="A1" s="41"/>
      <c r="B1" s="41" t="s">
        <v>140</v>
      </c>
      <c r="C1" s="41" t="s">
        <v>141</v>
      </c>
      <c r="D1" s="41" t="s">
        <v>34</v>
      </c>
      <c r="E1" s="41"/>
      <c r="F1" s="41" t="s">
        <v>35</v>
      </c>
      <c r="G1" s="62" t="s">
        <v>142</v>
      </c>
      <c r="H1" s="62" t="s">
        <v>114</v>
      </c>
      <c r="I1" s="62"/>
      <c r="J1" s="62" t="s">
        <v>115</v>
      </c>
      <c r="K1" s="59"/>
      <c r="L1" s="59" t="s">
        <v>143</v>
      </c>
      <c r="M1" s="59" t="s">
        <v>144</v>
      </c>
      <c r="N1" s="59" t="s">
        <v>145</v>
      </c>
    </row>
    <row r="2" spans="1:14" ht="16.5" x14ac:dyDescent="0.2">
      <c r="A2" s="5" t="s">
        <v>146</v>
      </c>
      <c r="B2" s="5"/>
      <c r="C2" s="5"/>
      <c r="D2" s="5"/>
      <c r="E2" s="5"/>
      <c r="F2" s="5"/>
      <c r="G2" s="62"/>
      <c r="H2" s="62"/>
      <c r="I2" s="62"/>
      <c r="J2" s="62"/>
      <c r="K2" s="59"/>
      <c r="L2" s="59"/>
      <c r="M2" s="59"/>
      <c r="N2" s="59"/>
    </row>
    <row r="3" spans="1:14" ht="16.5" x14ac:dyDescent="0.2">
      <c r="A3" s="41" t="s">
        <v>147</v>
      </c>
      <c r="B3" s="6">
        <v>35.453000000000003</v>
      </c>
      <c r="C3" s="7">
        <v>13</v>
      </c>
      <c r="D3" s="7">
        <v>12.2</v>
      </c>
      <c r="E3" s="7"/>
      <c r="F3" s="7">
        <v>12.3</v>
      </c>
      <c r="G3" s="62">
        <v>0.33353125262644934</v>
      </c>
      <c r="H3" s="62">
        <v>0.31360120067343966</v>
      </c>
      <c r="I3" s="62"/>
      <c r="J3" s="62">
        <v>0.31587213141490134</v>
      </c>
      <c r="K3" s="58" t="s">
        <v>148</v>
      </c>
      <c r="L3" s="64">
        <f>LOG(G14*C31/$H$27/1000000)</f>
        <v>0.11210520074441029</v>
      </c>
      <c r="M3" s="64">
        <f t="shared" ref="M3" si="0">LOG(H14*D31/$H$27/1000000)</f>
        <v>9.0165864176468172E-2</v>
      </c>
      <c r="N3" s="64">
        <f>LOG(J14*F31/$H$27/1000000)</f>
        <v>0.10590669163511106</v>
      </c>
    </row>
    <row r="4" spans="1:14" ht="16.5" x14ac:dyDescent="0.2">
      <c r="A4" s="41" t="s">
        <v>149</v>
      </c>
      <c r="B4" s="6">
        <v>46.006</v>
      </c>
      <c r="C4" s="8">
        <v>0.01</v>
      </c>
      <c r="D4" s="8">
        <v>0.01</v>
      </c>
      <c r="E4" s="8"/>
      <c r="F4" s="8">
        <v>0.01</v>
      </c>
      <c r="G4" s="62">
        <v>1.9771354260093502E-4</v>
      </c>
      <c r="H4" s="62">
        <v>1.9808934761142172E-4</v>
      </c>
      <c r="I4" s="62"/>
      <c r="J4" s="62">
        <v>1.9790165907262056E-4</v>
      </c>
      <c r="K4" s="58" t="s">
        <v>150</v>
      </c>
      <c r="L4" s="64">
        <f>LOG(G15*C31/$H$28/1000000)</f>
        <v>-4.5206475069707643</v>
      </c>
      <c r="M4" s="64">
        <f t="shared" ref="M4" si="1">LOG(H15*D31/$H$28/1000000)</f>
        <v>-4.55473008649418</v>
      </c>
      <c r="N4" s="64">
        <f>LOG(J15*F31/$H$28/1000000)</f>
        <v>-4.5246537886588456</v>
      </c>
    </row>
    <row r="5" spans="1:14" ht="16.5" x14ac:dyDescent="0.2">
      <c r="A5" s="41" t="s">
        <v>151</v>
      </c>
      <c r="B5" s="6">
        <v>62.005000000000003</v>
      </c>
      <c r="C5" s="7">
        <v>1.46</v>
      </c>
      <c r="D5" s="8">
        <v>0.35</v>
      </c>
      <c r="E5" s="8"/>
      <c r="F5" s="8">
        <v>0.35</v>
      </c>
      <c r="G5" s="62">
        <f t="shared" ref="G5" si="2">10^(-0.496*1*(SQRT(C$21)/(SQRT(C$21)+1)-0.3*C$21))*C5/$B5</f>
        <v>2.1442427983013785E-2</v>
      </c>
      <c r="H5" s="62">
        <v>5.144141541294384E-3</v>
      </c>
      <c r="I5" s="62"/>
      <c r="J5" s="62">
        <v>5.1392674962186949E-3</v>
      </c>
      <c r="K5" s="58" t="s">
        <v>152</v>
      </c>
      <c r="L5" s="64">
        <f>LOG(G13*G6/$I$27/1000000)</f>
        <v>-2.7379354016318911</v>
      </c>
      <c r="M5" s="64">
        <f t="shared" ref="M5" si="3">LOG(H13*H6/$I$27/1000000)</f>
        <v>-2.5454755112786525</v>
      </c>
      <c r="N5" s="64">
        <f>LOG(J13*J6/$I$27/1000000)</f>
        <v>-2.5253969359732595</v>
      </c>
    </row>
    <row r="6" spans="1:14" ht="16.5" x14ac:dyDescent="0.2">
      <c r="A6" s="41" t="s">
        <v>153</v>
      </c>
      <c r="B6" s="6">
        <v>61.017000000000003</v>
      </c>
      <c r="C6" s="4">
        <v>283.7</v>
      </c>
      <c r="D6" s="9">
        <v>279.5</v>
      </c>
      <c r="E6" s="9"/>
      <c r="F6" s="9">
        <v>283.7</v>
      </c>
      <c r="G6" s="62">
        <v>4.2425570558693169</v>
      </c>
      <c r="H6" s="62">
        <v>4.187176995384938</v>
      </c>
      <c r="I6" s="62"/>
      <c r="J6" s="62">
        <v>4.2463301811463996</v>
      </c>
      <c r="K6" s="58" t="s">
        <v>154</v>
      </c>
      <c r="L6" s="64">
        <f>LOG(G16*C31/$H$29/1000000)</f>
        <v>0.32880711408200397</v>
      </c>
      <c r="M6" s="64">
        <f>LOG(H16*D31/$H$29/1000000)</f>
        <v>0.38777120328284509</v>
      </c>
      <c r="N6" s="64">
        <f>LOG(J16*F31/$H$29/1000000)</f>
        <v>0.38470032635440055</v>
      </c>
    </row>
    <row r="7" spans="1:14" ht="16.5" x14ac:dyDescent="0.2">
      <c r="A7" s="41" t="s">
        <v>155</v>
      </c>
      <c r="B7" s="6">
        <v>96.063000000000002</v>
      </c>
      <c r="C7" s="9">
        <v>21.4</v>
      </c>
      <c r="D7" s="7">
        <v>18.7</v>
      </c>
      <c r="E7" s="9"/>
      <c r="F7" s="9">
        <v>18.8</v>
      </c>
      <c r="G7" s="62">
        <v>0.15405069364984886</v>
      </c>
      <c r="H7" s="62">
        <v>0.13558674524880227</v>
      </c>
      <c r="I7" s="62"/>
      <c r="J7" s="62">
        <v>0.13582280877548719</v>
      </c>
      <c r="K7" s="58" t="s">
        <v>117</v>
      </c>
      <c r="L7" s="64">
        <f>LOG(G16*(10^(-(14.534617-7.4)))^2/$J$29/1000000)</f>
        <v>-8.3918684299237398</v>
      </c>
      <c r="M7" s="64">
        <f t="shared" ref="M7" si="4">LOG(H16*(10^(-(14.534617-7.4)))^2/$J$29/1000000)</f>
        <v>-8.3271979683619008</v>
      </c>
      <c r="N7" s="64">
        <f>LOG(J16*(10^(-(14.534617-7.4)))^2/$J$29/1000000)</f>
        <v>-8.3363612865316394</v>
      </c>
    </row>
    <row r="8" spans="1:14" ht="16.5" x14ac:dyDescent="0.2">
      <c r="A8" s="41"/>
      <c r="B8" s="6"/>
      <c r="C8" s="4"/>
      <c r="D8" s="9"/>
      <c r="E8" s="9"/>
      <c r="F8" s="41"/>
      <c r="G8" s="62"/>
      <c r="H8" s="62"/>
      <c r="I8" s="62"/>
      <c r="J8" s="62"/>
      <c r="K8" s="68" t="s">
        <v>109</v>
      </c>
      <c r="L8" s="65">
        <f>LOG(G17*(10^(-(14.534617-7.4)))^2/$J$30/1000000)</f>
        <v>-0.7451029328095955</v>
      </c>
      <c r="M8" s="65">
        <f t="shared" ref="M8" si="5">LOG(H17*(10^(-(14.534617-7.4)))^2/$J$30/1000000)</f>
        <v>-1.0856391149728366</v>
      </c>
      <c r="N8" s="65">
        <f>LOG(J17*(10^(-(14.534617-7.4)))^2/$J$30/1000000)</f>
        <v>-0.96504364775972185</v>
      </c>
    </row>
    <row r="9" spans="1:14" ht="16.5" x14ac:dyDescent="0.2">
      <c r="A9" s="77" t="s">
        <v>118</v>
      </c>
      <c r="B9" s="77"/>
      <c r="C9" s="11">
        <f>C3/$B3+C4/$B4+C5/$B5+C7/$B7*2+C6/$B6</f>
        <v>5.485511351669798</v>
      </c>
      <c r="D9" s="11">
        <f>D3/$B3+D4/$B4+D5/$B5+D7/$B7*2+D6/$B6</f>
        <v>5.3199980972662937</v>
      </c>
      <c r="E9" s="11"/>
      <c r="F9" s="11">
        <f>F3/$B3+F4/$B4+F5/$B5+F7/$B7*2+F6/$B6</f>
        <v>5.393733976052328</v>
      </c>
      <c r="G9" s="62"/>
      <c r="H9" s="62"/>
      <c r="I9" s="62"/>
      <c r="J9" s="62"/>
      <c r="K9" s="59"/>
      <c r="L9" s="59"/>
      <c r="M9" s="59"/>
      <c r="N9" s="59"/>
    </row>
    <row r="10" spans="1:14" ht="16.5" x14ac:dyDescent="0.2">
      <c r="A10" s="12" t="s">
        <v>119</v>
      </c>
      <c r="B10" s="12"/>
      <c r="C10" s="12"/>
      <c r="D10" s="12"/>
      <c r="E10" s="12"/>
      <c r="F10" s="12"/>
      <c r="G10" s="62"/>
      <c r="H10" s="62"/>
      <c r="I10" s="62"/>
      <c r="J10" s="62"/>
      <c r="K10" s="59"/>
      <c r="L10" s="59"/>
      <c r="M10" s="59"/>
      <c r="N10" s="59"/>
    </row>
    <row r="11" spans="1:14" ht="16.5" x14ac:dyDescent="0.2">
      <c r="A11" s="41" t="s">
        <v>120</v>
      </c>
      <c r="B11" s="6">
        <v>22.99</v>
      </c>
      <c r="C11" s="7">
        <v>10.1</v>
      </c>
      <c r="D11" s="7">
        <v>8.82</v>
      </c>
      <c r="E11" s="7"/>
      <c r="F11" s="7">
        <v>8.5299999999999994</v>
      </c>
      <c r="G11" s="62">
        <v>0.40087063931574846</v>
      </c>
      <c r="H11" s="62">
        <v>0.35068937758078272</v>
      </c>
      <c r="I11" s="62"/>
      <c r="J11" s="62">
        <v>0.33885818080583707</v>
      </c>
      <c r="K11" s="59"/>
      <c r="L11" s="59"/>
      <c r="M11" s="59"/>
      <c r="N11" s="59"/>
    </row>
    <row r="12" spans="1:14" ht="16.5" x14ac:dyDescent="0.2">
      <c r="A12" s="41" t="s">
        <v>121</v>
      </c>
      <c r="B12" s="6">
        <v>18.038</v>
      </c>
      <c r="C12" s="8">
        <v>0.1</v>
      </c>
      <c r="D12" s="8">
        <v>0.12</v>
      </c>
      <c r="E12" s="8"/>
      <c r="F12" s="8">
        <v>0.14000000000000001</v>
      </c>
      <c r="G12" s="62">
        <v>5.0358303714758326E-3</v>
      </c>
      <c r="H12" s="62">
        <v>6.0548032708324208E-3</v>
      </c>
      <c r="I12" s="62"/>
      <c r="J12" s="62">
        <v>7.0570585512780767E-3</v>
      </c>
      <c r="K12" s="59"/>
      <c r="L12" s="59"/>
      <c r="M12" s="59"/>
      <c r="N12" s="59"/>
    </row>
    <row r="13" spans="1:14" ht="16.5" x14ac:dyDescent="0.2">
      <c r="A13" s="41" t="s">
        <v>48</v>
      </c>
      <c r="B13" s="6">
        <v>39.097999999999999</v>
      </c>
      <c r="C13" s="7">
        <v>1.1299999999999999</v>
      </c>
      <c r="D13" s="7">
        <v>1.78</v>
      </c>
      <c r="E13" s="7"/>
      <c r="F13" s="7">
        <v>1.84</v>
      </c>
      <c r="G13" s="62">
        <v>2.6288556622829803E-2</v>
      </c>
      <c r="H13" s="62">
        <v>4.1489003555490449E-2</v>
      </c>
      <c r="I13" s="62"/>
      <c r="J13" s="62">
        <v>4.2846873620327276E-2</v>
      </c>
      <c r="K13" s="59"/>
      <c r="L13" s="59"/>
      <c r="M13" s="59"/>
      <c r="N13" s="59"/>
    </row>
    <row r="14" spans="1:14" ht="16.5" x14ac:dyDescent="0.2">
      <c r="A14" s="41" t="s">
        <v>122</v>
      </c>
      <c r="B14" s="6">
        <v>40.078000000000003</v>
      </c>
      <c r="C14" s="9">
        <v>93.2</v>
      </c>
      <c r="D14" s="9">
        <v>89.2</v>
      </c>
      <c r="E14" s="9"/>
      <c r="F14" s="9">
        <v>91.5</v>
      </c>
      <c r="G14" s="62">
        <v>1.6386171997569552</v>
      </c>
      <c r="H14" s="62">
        <v>1.5784998498432543</v>
      </c>
      <c r="I14" s="62"/>
      <c r="J14" s="62">
        <v>1.613960609709022</v>
      </c>
      <c r="K14" s="59"/>
      <c r="L14" s="59"/>
      <c r="M14" s="59"/>
      <c r="N14" s="59"/>
    </row>
    <row r="15" spans="1:14" ht="16.5" x14ac:dyDescent="0.2">
      <c r="A15" s="41" t="s">
        <v>123</v>
      </c>
      <c r="B15" s="6">
        <v>24.305</v>
      </c>
      <c r="C15" s="7">
        <v>7.71</v>
      </c>
      <c r="D15" s="7">
        <v>7.18</v>
      </c>
      <c r="E15" s="7"/>
      <c r="F15" s="7">
        <v>7.61</v>
      </c>
      <c r="G15" s="62">
        <v>0.22735167038602724</v>
      </c>
      <c r="H15" s="62">
        <v>0.21297172189437169</v>
      </c>
      <c r="I15" s="62"/>
      <c r="J15" s="62">
        <v>0.22506387853306795</v>
      </c>
      <c r="K15" s="59"/>
      <c r="L15" s="59"/>
      <c r="M15" s="59"/>
      <c r="N15" s="59"/>
    </row>
    <row r="16" spans="1:14" ht="16.5" x14ac:dyDescent="0.2">
      <c r="A16" s="41" t="s">
        <v>124</v>
      </c>
      <c r="B16" s="6">
        <v>55.844999999999999</v>
      </c>
      <c r="C16" s="7">
        <v>0.98</v>
      </c>
      <c r="D16" s="7">
        <v>1.1299999999999999</v>
      </c>
      <c r="E16" s="7"/>
      <c r="F16" s="7">
        <v>1.1100000000000001</v>
      </c>
      <c r="G16" s="62">
        <v>1.2365435547813032E-2</v>
      </c>
      <c r="H16" s="62">
        <v>1.4350924501890497E-2</v>
      </c>
      <c r="I16" s="62"/>
      <c r="J16" s="62">
        <v>1.4051301789284881E-2</v>
      </c>
      <c r="K16" s="59"/>
      <c r="L16" s="59"/>
      <c r="M16" s="59"/>
      <c r="N16" s="59"/>
    </row>
    <row r="17" spans="1:14" ht="16.5" x14ac:dyDescent="0.2">
      <c r="A17" s="41"/>
      <c r="B17" s="6"/>
      <c r="C17" s="7"/>
      <c r="D17" s="7"/>
      <c r="E17" s="7"/>
      <c r="F17" s="7"/>
      <c r="G17" s="11">
        <v>3.6772550439942464E-17</v>
      </c>
      <c r="H17" s="41">
        <v>1.6787559702541972E-17</v>
      </c>
      <c r="I17" s="41"/>
      <c r="J17" s="41">
        <v>2.2160677694637636E-17</v>
      </c>
      <c r="K17" s="41"/>
      <c r="L17" s="41"/>
      <c r="M17" s="41"/>
      <c r="N17" s="41"/>
    </row>
    <row r="18" spans="1:14" ht="16.5" x14ac:dyDescent="0.2">
      <c r="A18" s="77" t="s">
        <v>125</v>
      </c>
      <c r="B18" s="77"/>
      <c r="C18" s="41">
        <f>C11/$B11+C12/$B12+C13/$B13+C14/$B14*2+C15/$B15*2+C16/$B16*2</f>
        <v>5.7942322176909666</v>
      </c>
      <c r="D18" s="41">
        <f t="shared" ref="D18:F18" si="6">D11/$B11+D12/$B12+D13/$B13+D14/$B14*2+D15/$B15*2+D16/$B16*2</f>
        <v>5.5184383256998251</v>
      </c>
      <c r="E18" s="41"/>
      <c r="F18" s="41">
        <f t="shared" si="6"/>
        <v>5.6579111054521984</v>
      </c>
      <c r="G18" s="59"/>
      <c r="H18" s="41"/>
      <c r="I18" s="41"/>
      <c r="J18" s="41"/>
      <c r="K18" s="41"/>
      <c r="L18" s="41"/>
      <c r="M18" s="41"/>
      <c r="N18" s="41"/>
    </row>
    <row r="19" spans="1:14" ht="16.5" x14ac:dyDescent="0.2">
      <c r="A19" s="41" t="s">
        <v>126</v>
      </c>
      <c r="B19" s="41"/>
      <c r="C19" s="13">
        <f>(C9-C18)/(C9+C18)</f>
        <v>-2.7369493297680011E-2</v>
      </c>
      <c r="D19" s="13">
        <f>(D9-D18)/(D9+D18)</f>
        <v>-1.8308935042793274E-2</v>
      </c>
      <c r="E19" s="13"/>
      <c r="F19" s="13">
        <f>(F9-F18)/(F9+F18)</f>
        <v>-2.3903873808070797E-2</v>
      </c>
      <c r="G19" s="59"/>
      <c r="H19" s="41"/>
      <c r="I19" s="41"/>
      <c r="J19" s="41"/>
      <c r="K19" s="41"/>
      <c r="L19" s="41"/>
      <c r="M19" s="41"/>
      <c r="N19" s="41"/>
    </row>
    <row r="20" spans="1:14" ht="16.5" x14ac:dyDescent="0.2">
      <c r="A20" s="41"/>
      <c r="B20" s="41"/>
      <c r="C20" s="41"/>
      <c r="D20" s="41"/>
      <c r="E20" s="41"/>
      <c r="F20" s="41"/>
      <c r="G20" s="59"/>
      <c r="H20" s="41"/>
      <c r="I20" s="41"/>
      <c r="J20" s="41"/>
      <c r="K20" s="41"/>
      <c r="L20" s="41"/>
      <c r="M20" s="41"/>
      <c r="N20" s="41"/>
    </row>
    <row r="21" spans="1:14" ht="16.5" x14ac:dyDescent="0.2">
      <c r="A21" s="41" t="s">
        <v>127</v>
      </c>
      <c r="B21" s="41"/>
      <c r="C21" s="61">
        <v>8.5228845528356242E-3</v>
      </c>
      <c r="D21" s="61">
        <v>8.1551981794010502E-3</v>
      </c>
      <c r="E21" s="61"/>
      <c r="F21" s="61">
        <v>8.3375653082686102E-3</v>
      </c>
      <c r="G21" s="59"/>
      <c r="H21" s="41"/>
      <c r="I21" s="41"/>
      <c r="J21" s="41"/>
      <c r="K21" s="41"/>
      <c r="L21" s="41"/>
      <c r="M21" s="41"/>
      <c r="N21" s="41"/>
    </row>
    <row r="22" spans="1:14" ht="16.5" x14ac:dyDescent="0.2">
      <c r="A22" s="41"/>
      <c r="B22" s="41"/>
      <c r="C22" s="41"/>
      <c r="D22" s="41"/>
      <c r="E22" s="41"/>
      <c r="F22" s="41"/>
      <c r="G22" s="59"/>
      <c r="H22" s="41"/>
      <c r="I22" s="41"/>
      <c r="J22" s="41"/>
      <c r="K22" s="41"/>
      <c r="L22" s="41"/>
      <c r="M22" s="41"/>
      <c r="N22" s="41"/>
    </row>
    <row r="23" spans="1:14" ht="16.5" x14ac:dyDescent="0.2">
      <c r="A23" s="41" t="s">
        <v>128</v>
      </c>
      <c r="B23" s="50">
        <f>10^-7.4</f>
        <v>3.981071705534957E-8</v>
      </c>
      <c r="C23" s="41" t="s">
        <v>129</v>
      </c>
      <c r="D23" s="41" t="s">
        <v>130</v>
      </c>
      <c r="E23" s="41" t="s">
        <v>131</v>
      </c>
      <c r="F23" s="41" t="s">
        <v>132</v>
      </c>
      <c r="G23" s="59" t="s">
        <v>133</v>
      </c>
      <c r="H23" s="41" t="s">
        <v>86</v>
      </c>
      <c r="I23" s="41" t="s">
        <v>97</v>
      </c>
      <c r="J23" s="41" t="s">
        <v>172</v>
      </c>
      <c r="K23" s="41"/>
      <c r="L23" s="20" t="s">
        <v>134</v>
      </c>
      <c r="M23" s="20" t="s">
        <v>116</v>
      </c>
      <c r="N23" s="41"/>
    </row>
    <row r="24" spans="1:14" ht="16.5" x14ac:dyDescent="0.2">
      <c r="A24" s="41"/>
      <c r="B24" s="41"/>
      <c r="C24" s="41" t="s">
        <v>135</v>
      </c>
      <c r="D24" s="50"/>
      <c r="E24" s="50"/>
      <c r="F24" s="50"/>
      <c r="G24" s="59"/>
      <c r="H24" s="50"/>
      <c r="I24" s="50"/>
      <c r="J24" s="41"/>
      <c r="K24" s="41"/>
      <c r="L24" s="20" t="s">
        <v>136</v>
      </c>
      <c r="M24" s="20" t="s">
        <v>83</v>
      </c>
      <c r="N24" s="41"/>
    </row>
    <row r="25" spans="1:14" ht="16.5" x14ac:dyDescent="0.2">
      <c r="A25" s="41"/>
      <c r="B25" s="41"/>
      <c r="C25" s="41" t="s">
        <v>137</v>
      </c>
      <c r="D25" s="50"/>
      <c r="E25" s="50"/>
      <c r="F25" s="50"/>
      <c r="G25" s="59"/>
      <c r="H25" s="50"/>
      <c r="I25" s="50"/>
      <c r="J25" s="41"/>
      <c r="K25" s="41"/>
      <c r="L25" s="20" t="s">
        <v>109</v>
      </c>
      <c r="M25" s="20"/>
      <c r="N25" s="41"/>
    </row>
    <row r="26" spans="1:14" ht="16.5" x14ac:dyDescent="0.2">
      <c r="A26" s="41"/>
      <c r="B26" s="41"/>
      <c r="C26" s="41" t="s">
        <v>138</v>
      </c>
      <c r="D26" s="50"/>
      <c r="E26" s="50"/>
      <c r="F26" s="50"/>
      <c r="G26" s="59"/>
      <c r="H26" s="50"/>
      <c r="I26" s="50"/>
      <c r="J26" s="41"/>
      <c r="K26" s="41"/>
      <c r="L26" s="41"/>
      <c r="M26" s="41"/>
      <c r="N26" s="41"/>
    </row>
    <row r="27" spans="1:14" ht="16.5" x14ac:dyDescent="0.2">
      <c r="A27" s="41"/>
      <c r="B27" s="41"/>
      <c r="C27" s="41" t="s">
        <v>139</v>
      </c>
      <c r="D27" s="50"/>
      <c r="E27" s="50"/>
      <c r="F27" s="50"/>
      <c r="G27" s="59"/>
      <c r="H27" s="50">
        <f>10^-8.36</f>
        <v>4.3651583224016521E-9</v>
      </c>
      <c r="I27" s="50">
        <f>6.1*10^-5</f>
        <v>6.0999999999999999E-5</v>
      </c>
      <c r="J27" s="15" t="s">
        <v>173</v>
      </c>
      <c r="K27" s="41"/>
      <c r="L27" s="41"/>
      <c r="M27" s="41"/>
      <c r="N27" s="41"/>
    </row>
    <row r="28" spans="1:14" ht="16.5" x14ac:dyDescent="0.2">
      <c r="A28" s="41"/>
      <c r="B28" s="41"/>
      <c r="C28" s="41" t="s">
        <v>96</v>
      </c>
      <c r="D28" s="50"/>
      <c r="E28" s="50"/>
      <c r="F28" s="50"/>
      <c r="G28" s="59"/>
      <c r="H28" s="50">
        <f>2.6*10^-5</f>
        <v>2.6000000000000002E-5</v>
      </c>
      <c r="I28" s="50"/>
      <c r="J28" s="41"/>
      <c r="K28" s="41"/>
      <c r="L28" s="41"/>
      <c r="M28" s="41"/>
      <c r="N28" s="41"/>
    </row>
    <row r="29" spans="1:14" ht="16.5" x14ac:dyDescent="0.2">
      <c r="A29" s="41"/>
      <c r="B29" s="41"/>
      <c r="C29" s="41" t="s">
        <v>106</v>
      </c>
      <c r="D29" s="50"/>
      <c r="E29" s="50"/>
      <c r="F29" s="50"/>
      <c r="G29" s="59"/>
      <c r="H29" s="50">
        <f>2*10^-11</f>
        <v>1.9999999999999999E-11</v>
      </c>
      <c r="I29" s="50"/>
      <c r="J29" s="20">
        <f>1.64*10^(-14)</f>
        <v>1.6399999999999998E-14</v>
      </c>
      <c r="K29" s="69" t="s">
        <v>177</v>
      </c>
      <c r="L29" s="41"/>
      <c r="M29" s="41"/>
      <c r="N29" s="41"/>
    </row>
    <row r="30" spans="1:14" ht="16.5" x14ac:dyDescent="0.2">
      <c r="A30" s="41"/>
      <c r="B30" s="41"/>
      <c r="C30" s="41" t="s">
        <v>178</v>
      </c>
      <c r="D30" s="41"/>
      <c r="E30" s="41"/>
      <c r="F30" s="41"/>
      <c r="G30" s="63">
        <f>10^-10.49</f>
        <v>3.2359365692962733E-11</v>
      </c>
      <c r="H30" s="41"/>
      <c r="I30" s="41"/>
      <c r="J30" s="41">
        <f>1.1*10^(-36)</f>
        <v>1.1E-36</v>
      </c>
      <c r="K30" s="41"/>
      <c r="L30" s="41"/>
      <c r="M30" s="41"/>
      <c r="N30" s="41"/>
    </row>
    <row r="31" spans="1:14" ht="16.5" x14ac:dyDescent="0.2">
      <c r="A31" s="41"/>
      <c r="B31" s="41"/>
      <c r="C31" s="50">
        <f>$G$30*G6/$B$23</f>
        <v>3.4484798415779015E-3</v>
      </c>
      <c r="D31" s="50">
        <f>$G$30*H6/$B$23</f>
        <v>3.4034652384291849E-3</v>
      </c>
      <c r="E31" s="50">
        <f>$G$30*I6/$B$23</f>
        <v>0</v>
      </c>
      <c r="F31" s="50">
        <f>$G$30*J6/$B$23</f>
        <v>3.4515467529444245E-3</v>
      </c>
      <c r="G31" s="59"/>
      <c r="H31" s="41"/>
      <c r="I31" s="41"/>
      <c r="J31" s="41"/>
      <c r="K31" s="41"/>
      <c r="L31" s="41"/>
      <c r="M31" s="41"/>
      <c r="N31" s="41"/>
    </row>
    <row r="32" spans="1:14" x14ac:dyDescent="0.2">
      <c r="A32" s="57" t="s">
        <v>169</v>
      </c>
    </row>
  </sheetData>
  <mergeCells count="2">
    <mergeCell ref="A9:B9"/>
    <mergeCell ref="A18:B18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23" sqref="H23"/>
    </sheetView>
  </sheetViews>
  <sheetFormatPr defaultRowHeight="16.5" x14ac:dyDescent="0.2"/>
  <cols>
    <col min="1" max="1" width="11.375" style="43" customWidth="1"/>
    <col min="2" max="3" width="24.625" style="43" customWidth="1"/>
    <col min="4" max="4" width="19.5" style="43" customWidth="1"/>
    <col min="5" max="5" width="22.125" style="43" customWidth="1"/>
    <col min="6" max="6" width="24.375" style="43" customWidth="1"/>
    <col min="7" max="7" width="21" style="43" customWidth="1"/>
    <col min="8" max="16384" width="9" style="43"/>
  </cols>
  <sheetData>
    <row r="1" spans="1:11" x14ac:dyDescent="0.2">
      <c r="A1" s="17" t="s">
        <v>108</v>
      </c>
      <c r="B1" s="17"/>
      <c r="C1" s="17"/>
      <c r="D1" s="17"/>
      <c r="E1" s="17"/>
    </row>
    <row r="2" spans="1:11" x14ac:dyDescent="0.2">
      <c r="A2" s="17" t="s">
        <v>106</v>
      </c>
      <c r="B2" s="17">
        <f>0.012365435547813*0.001</f>
        <v>1.2365435547813001E-5</v>
      </c>
      <c r="C2" s="17"/>
      <c r="D2" s="17">
        <f>0.0143509245018905*0.001</f>
        <v>1.4350924501890502E-5</v>
      </c>
      <c r="E2" s="17">
        <f>0.0140513017892849*0.001</f>
        <v>1.40513017892849E-5</v>
      </c>
    </row>
    <row r="3" spans="1:11" x14ac:dyDescent="0.2">
      <c r="A3" s="17" t="s">
        <v>107</v>
      </c>
      <c r="B3" s="17">
        <f>1.1*10^(-36)/(10^(-(14.534617-7.4)))^3</f>
        <v>2.7876849160852922E-15</v>
      </c>
      <c r="C3" s="17"/>
      <c r="D3" s="17">
        <f>1.1*10^(-36)/(10^(-(14.534617-7.4)))^3</f>
        <v>2.7876849160852922E-15</v>
      </c>
      <c r="E3" s="17">
        <f>1.1*10^(-36)/(10^(-(14.534617-7.4)))^3</f>
        <v>2.7876849160852922E-15</v>
      </c>
    </row>
    <row r="4" spans="1:11" x14ac:dyDescent="0.2">
      <c r="A4" s="17" t="s">
        <v>110</v>
      </c>
      <c r="B4" s="17">
        <f>0.77+2.3*8.3148*(273.15+10)/96490*LOG(B3/B2)</f>
        <v>0.22861696947773424</v>
      </c>
      <c r="C4" s="17"/>
      <c r="D4" s="17">
        <f t="shared" ref="D4" si="0">0.77+2.3*8.3148*(273.15+10)/96490*LOG(D3/D2)</f>
        <v>0.22498769459122958</v>
      </c>
      <c r="E4" s="17">
        <f>0.77+2.3*8.3148*(273.15+10)/96490*LOG(E3/E2)</f>
        <v>0.22550193555545539</v>
      </c>
      <c r="G4" s="15" t="s">
        <v>163</v>
      </c>
      <c r="I4" s="43">
        <v>13</v>
      </c>
    </row>
    <row r="5" spans="1:11" x14ac:dyDescent="0.2">
      <c r="A5" s="17" t="s">
        <v>111</v>
      </c>
      <c r="B5" s="17">
        <f>96490/(2.3*8.314*283.15)*B4</f>
        <v>4.074143744231252</v>
      </c>
      <c r="C5" s="17"/>
      <c r="D5" s="17">
        <f t="shared" ref="D5:E5" si="1">96490/(2.3*8.314*283.15)*D4</f>
        <v>4.009467059868201</v>
      </c>
      <c r="E5" s="17">
        <f t="shared" si="1"/>
        <v>4.0186312597620857</v>
      </c>
      <c r="I5" s="74">
        <f>$I$4+LOG(B3/B2)</f>
        <v>3.3530342670342694</v>
      </c>
      <c r="J5" s="74">
        <f t="shared" ref="J5:K5" si="2">$I$4+LOG(D3/D2)</f>
        <v>3.2883638054724287</v>
      </c>
      <c r="K5" s="74">
        <f t="shared" si="2"/>
        <v>3.2975271236421673</v>
      </c>
    </row>
    <row r="6" spans="1:11" x14ac:dyDescent="0.2">
      <c r="A6" s="17" t="s">
        <v>109</v>
      </c>
      <c r="B6" s="19" t="s">
        <v>160</v>
      </c>
      <c r="C6" s="19"/>
      <c r="D6" s="19" t="s">
        <v>164</v>
      </c>
      <c r="E6" s="17"/>
      <c r="I6" s="74">
        <f>$I$4+LOG(B12/D2)</f>
        <v>1.4086438726628323</v>
      </c>
      <c r="J6" s="74">
        <f>$I$4+LOG(D12/D2)</f>
        <v>1.0681076904995912</v>
      </c>
      <c r="K6" s="74">
        <f>$I$4+LOG(F12/E2)</f>
        <v>1.197866475882444</v>
      </c>
    </row>
    <row r="7" spans="1:11" s="51" customFormat="1" x14ac:dyDescent="0.2">
      <c r="A7" s="42"/>
      <c r="B7" s="66"/>
      <c r="C7" s="66"/>
      <c r="D7" s="66"/>
      <c r="E7" s="42"/>
    </row>
    <row r="8" spans="1:11" x14ac:dyDescent="0.2">
      <c r="B8" s="78" t="s">
        <v>174</v>
      </c>
      <c r="C8" s="79"/>
      <c r="D8" s="78" t="s">
        <v>175</v>
      </c>
      <c r="E8" s="79"/>
      <c r="F8" s="78" t="s">
        <v>176</v>
      </c>
      <c r="G8" s="79"/>
    </row>
    <row r="9" spans="1:11" x14ac:dyDescent="0.2">
      <c r="A9" s="67"/>
      <c r="B9" s="17" t="s">
        <v>161</v>
      </c>
      <c r="C9" s="17" t="s">
        <v>162</v>
      </c>
      <c r="D9" s="17" t="s">
        <v>161</v>
      </c>
      <c r="E9" s="17" t="s">
        <v>162</v>
      </c>
      <c r="F9" s="17" t="s">
        <v>161</v>
      </c>
      <c r="G9" s="17" t="s">
        <v>162</v>
      </c>
    </row>
    <row r="10" spans="1:11" x14ac:dyDescent="0.2">
      <c r="A10" s="67" t="s">
        <v>165</v>
      </c>
      <c r="B10" s="17">
        <v>123.128</v>
      </c>
      <c r="C10" s="17">
        <v>0.43511356000000001</v>
      </c>
      <c r="D10" s="17">
        <v>100.38800000000001</v>
      </c>
      <c r="E10" s="17">
        <v>0.35479937700000003</v>
      </c>
      <c r="F10" s="17">
        <v>107.67</v>
      </c>
      <c r="G10" s="17">
        <v>0.38047684199999998</v>
      </c>
    </row>
    <row r="11" spans="1:11" x14ac:dyDescent="0.2">
      <c r="A11" s="67" t="s">
        <v>167</v>
      </c>
      <c r="B11" s="17">
        <f>(B10*0.001-0.77)*96490/(2.3*8.3148*283.15)+LOG(B2)</f>
        <v>-16.434476247651368</v>
      </c>
      <c r="C11" s="17">
        <f>(C10*0.001-0.77)*96490/(2.3*8.3148*283.15)+LOG(B2)</f>
        <v>-18.620754731525377</v>
      </c>
      <c r="D11" s="17">
        <f>(D10*0.001-0.77)*96490/(2.3*8.3148*283.15)+LOG(D2)</f>
        <v>-16.775012429814609</v>
      </c>
      <c r="E11" s="17">
        <f t="shared" ref="E11" si="3">(E10*0.001-0.77)*96490/(2.3*8.3148*283.15)+LOG(D2)</f>
        <v>-18.557515397515733</v>
      </c>
      <c r="F11" s="17">
        <f t="shared" ref="F11" si="4">(F10*0.001-0.77)*96490/(2.3*8.3148*283.15)+LOG(E2)</f>
        <v>-16.654416962601495</v>
      </c>
      <c r="G11" s="17">
        <f>(G10*0.001-0.77)*96490/(2.3*8.3148*283.15)+LOG(E2)</f>
        <v>-18.566221166019155</v>
      </c>
    </row>
    <row r="12" spans="1:11" x14ac:dyDescent="0.2">
      <c r="A12" s="67" t="s">
        <v>166</v>
      </c>
      <c r="B12" s="17">
        <f>10^(B11)</f>
        <v>3.6772550439942464E-17</v>
      </c>
      <c r="C12" s="17">
        <f>10^(C11)</f>
        <v>2.3946677668878901E-19</v>
      </c>
      <c r="D12" s="17">
        <f t="shared" ref="D12:G12" si="5">10^(D11)</f>
        <v>1.6787559702541972E-17</v>
      </c>
      <c r="E12" s="17">
        <f t="shared" si="5"/>
        <v>2.7700308284999011E-19</v>
      </c>
      <c r="F12" s="17">
        <f t="shared" si="5"/>
        <v>2.2160677694637636E-17</v>
      </c>
      <c r="G12" s="17">
        <f t="shared" si="5"/>
        <v>2.7150562645996834E-19</v>
      </c>
    </row>
    <row r="14" spans="1:11" x14ac:dyDescent="0.2">
      <c r="A14" s="15" t="s">
        <v>168</v>
      </c>
      <c r="B14" s="15" t="s">
        <v>171</v>
      </c>
      <c r="C14" s="15" t="s">
        <v>170</v>
      </c>
    </row>
  </sheetData>
  <mergeCells count="3">
    <mergeCell ref="B8:C8"/>
    <mergeCell ref="D8:E8"/>
    <mergeCell ref="F8:G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Brunnen T1</vt:lpstr>
      <vt:lpstr>Brunnen T2</vt:lpstr>
      <vt:lpstr>Brunnen T4</vt:lpstr>
      <vt:lpstr>Ion Balance</vt:lpstr>
      <vt:lpstr>Pipe diagramm</vt:lpstr>
      <vt:lpstr>Activity</vt:lpstr>
      <vt:lpstr>Saturation Index</vt:lpstr>
      <vt:lpstr>Saturation Index 2</vt:lpstr>
      <vt:lpstr>redox potential</vt:lpstr>
      <vt:lpstr>Carbon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徐逸晨</dc:creator>
  <cp:lastModifiedBy>徐逸晨</cp:lastModifiedBy>
  <dcterms:created xsi:type="dcterms:W3CDTF">2016-07-20T12:52:52Z</dcterms:created>
  <dcterms:modified xsi:type="dcterms:W3CDTF">2016-08-17T13:30:02Z</dcterms:modified>
</cp:coreProperties>
</file>