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tern\F1\"/>
    </mc:Choice>
  </mc:AlternateContent>
  <bookViews>
    <workbookView xWindow="0" yWindow="0" windowWidth="28800" windowHeight="12120" activeTab="4"/>
  </bookViews>
  <sheets>
    <sheet name="F1 T1" sheetId="1" r:id="rId1"/>
    <sheet name="F1 T2" sheetId="2" r:id="rId2"/>
    <sheet name="F1 T3" sheetId="3" r:id="rId3"/>
    <sheet name="F1 T4" sheetId="4" r:id="rId4"/>
    <sheet name="calculation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5" l="1"/>
  <c r="C67" i="5" l="1"/>
  <c r="M67" i="5" l="1"/>
  <c r="M68" i="5"/>
  <c r="M69" i="5"/>
  <c r="M70" i="5"/>
  <c r="H68" i="5"/>
  <c r="H69" i="5"/>
  <c r="H70" i="5"/>
  <c r="H67" i="5"/>
  <c r="C68" i="5"/>
  <c r="C69" i="5"/>
  <c r="C70" i="5"/>
  <c r="B85" i="5" l="1"/>
  <c r="G82" i="5" l="1"/>
  <c r="G81" i="5"/>
  <c r="G80" i="5"/>
  <c r="D44" i="5" l="1"/>
  <c r="E44" i="5"/>
  <c r="F44" i="5"/>
  <c r="C44" i="5"/>
  <c r="N70" i="5" l="1"/>
  <c r="N69" i="5"/>
  <c r="N68" i="5"/>
  <c r="N67" i="5"/>
  <c r="N64" i="5"/>
  <c r="O64" i="5" s="1"/>
  <c r="N63" i="5"/>
  <c r="O63" i="5" s="1"/>
  <c r="N62" i="5"/>
  <c r="O62" i="5" s="1"/>
  <c r="N61" i="5"/>
  <c r="O61" i="5" s="1"/>
  <c r="N58" i="5"/>
  <c r="O58" i="5" s="1"/>
  <c r="N57" i="5"/>
  <c r="O57" i="5" s="1"/>
  <c r="N56" i="5"/>
  <c r="O56" i="5" s="1"/>
  <c r="N55" i="5"/>
  <c r="O55" i="5" s="1"/>
  <c r="I55" i="5"/>
  <c r="J55" i="5" s="1"/>
  <c r="I56" i="5"/>
  <c r="J56" i="5" s="1"/>
  <c r="I57" i="5"/>
  <c r="J57" i="5" s="1"/>
  <c r="I58" i="5"/>
  <c r="J58" i="5" s="1"/>
  <c r="I61" i="5"/>
  <c r="J61" i="5" s="1"/>
  <c r="I62" i="5"/>
  <c r="J62" i="5" s="1"/>
  <c r="I63" i="5"/>
  <c r="J63" i="5" s="1"/>
  <c r="I64" i="5"/>
  <c r="J64" i="5"/>
  <c r="I67" i="5"/>
  <c r="J67" i="5" s="1"/>
  <c r="I68" i="5"/>
  <c r="J68" i="5" s="1"/>
  <c r="I69" i="5"/>
  <c r="J69" i="5" s="1"/>
  <c r="I70" i="5"/>
  <c r="J70" i="5" s="1"/>
  <c r="D55" i="5"/>
  <c r="D74" i="5" l="1"/>
  <c r="E74" i="5" s="1"/>
  <c r="D75" i="5"/>
  <c r="E75" i="5" s="1"/>
  <c r="D76" i="5"/>
  <c r="D73" i="5"/>
  <c r="E73" i="5" s="1"/>
  <c r="E76" i="5"/>
  <c r="D70" i="5"/>
  <c r="E70" i="5" s="1"/>
  <c r="D69" i="5"/>
  <c r="E69" i="5" s="1"/>
  <c r="D68" i="5"/>
  <c r="E68" i="5" s="1"/>
  <c r="D67" i="5"/>
  <c r="E67" i="5" s="1"/>
  <c r="D64" i="5"/>
  <c r="E64" i="5" s="1"/>
  <c r="D63" i="5"/>
  <c r="E63" i="5" s="1"/>
  <c r="D62" i="5"/>
  <c r="E62" i="5" s="1"/>
  <c r="D61" i="5"/>
  <c r="E61" i="5" s="1"/>
  <c r="D56" i="5"/>
  <c r="E56" i="5" s="1"/>
  <c r="D57" i="5"/>
  <c r="E57" i="5" s="1"/>
  <c r="D58" i="5"/>
  <c r="E58" i="5" s="1"/>
  <c r="E55" i="5"/>
  <c r="I35" i="5" l="1"/>
  <c r="D18" i="5" l="1"/>
  <c r="E18" i="5"/>
  <c r="F18" i="5"/>
  <c r="C18" i="5"/>
  <c r="D21" i="5"/>
  <c r="E21" i="5"/>
  <c r="F21" i="5"/>
  <c r="C21" i="5"/>
  <c r="C9" i="5"/>
  <c r="C26" i="5" l="1"/>
  <c r="C29" i="5"/>
  <c r="C43" i="5" s="1"/>
  <c r="F26" i="5"/>
  <c r="F29" i="5"/>
  <c r="F43" i="5" s="1"/>
  <c r="E26" i="5"/>
  <c r="E29" i="5"/>
  <c r="E43" i="5" s="1"/>
  <c r="D26" i="5"/>
  <c r="D29" i="5"/>
  <c r="D43" i="5" s="1"/>
  <c r="C27" i="5"/>
  <c r="C24" i="5"/>
  <c r="C28" i="5"/>
  <c r="C41" i="5" s="1"/>
  <c r="C23" i="5"/>
  <c r="C38" i="5" s="1"/>
  <c r="C25" i="5"/>
  <c r="C35" i="5" s="1"/>
  <c r="F27" i="5"/>
  <c r="F24" i="5"/>
  <c r="F25" i="5"/>
  <c r="F35" i="5" s="1"/>
  <c r="F28" i="5"/>
  <c r="F41" i="5" s="1"/>
  <c r="F23" i="5"/>
  <c r="F38" i="5" s="1"/>
  <c r="D23" i="5"/>
  <c r="D38" i="5" s="1"/>
  <c r="D27" i="5"/>
  <c r="D28" i="5"/>
  <c r="D41" i="5" s="1"/>
  <c r="D25" i="5"/>
  <c r="D35" i="5" s="1"/>
  <c r="D24" i="5"/>
  <c r="E23" i="5"/>
  <c r="E38" i="5" s="1"/>
  <c r="E28" i="5"/>
  <c r="E41" i="5" s="1"/>
  <c r="E25" i="5"/>
  <c r="E35" i="5" s="1"/>
  <c r="E24" i="5"/>
  <c r="E27" i="5"/>
  <c r="C19" i="5"/>
  <c r="F9" i="5"/>
  <c r="F19" i="5" s="1"/>
  <c r="E9" i="5"/>
  <c r="E19" i="5" s="1"/>
  <c r="D9" i="5"/>
  <c r="D19" i="5" s="1"/>
  <c r="D36" i="5" l="1"/>
  <c r="J36" i="5" s="1"/>
  <c r="D37" i="5"/>
  <c r="E36" i="5"/>
  <c r="K36" i="5" s="1"/>
  <c r="E37" i="5"/>
  <c r="F37" i="5"/>
  <c r="F36" i="5"/>
  <c r="L36" i="5" s="1"/>
  <c r="C37" i="5"/>
  <c r="C36" i="5"/>
  <c r="I36" i="5" s="1"/>
  <c r="F42" i="5"/>
  <c r="F51" i="5" s="1"/>
  <c r="F40" i="5"/>
  <c r="F49" i="5" s="1"/>
  <c r="E42" i="5"/>
  <c r="E40" i="5"/>
  <c r="E49" i="5" s="1"/>
  <c r="D39" i="5"/>
  <c r="D34" i="5"/>
  <c r="F74" i="5" s="1"/>
  <c r="D33" i="5"/>
  <c r="D32" i="5"/>
  <c r="C33" i="5"/>
  <c r="C34" i="5"/>
  <c r="F73" i="5" s="1"/>
  <c r="C32" i="5"/>
  <c r="C39" i="5"/>
  <c r="E33" i="5"/>
  <c r="E34" i="5"/>
  <c r="F75" i="5" s="1"/>
  <c r="E39" i="5"/>
  <c r="E32" i="5"/>
  <c r="F34" i="5"/>
  <c r="F76" i="5" s="1"/>
  <c r="F32" i="5"/>
  <c r="F33" i="5"/>
  <c r="F39" i="5"/>
  <c r="C42" i="5"/>
  <c r="C51" i="5" s="1"/>
  <c r="C40" i="5"/>
  <c r="D42" i="5"/>
  <c r="D51" i="5" s="1"/>
  <c r="D40" i="5"/>
  <c r="D49" i="5" s="1"/>
  <c r="C81" i="5" l="1"/>
  <c r="C82" i="5"/>
  <c r="F48" i="5"/>
  <c r="F81" i="5"/>
  <c r="F80" i="5" s="1"/>
  <c r="F82" i="5"/>
  <c r="E81" i="5"/>
  <c r="E80" i="5" s="1"/>
  <c r="E82" i="5"/>
  <c r="D81" i="5"/>
  <c r="D80" i="5" s="1"/>
  <c r="D82" i="5"/>
  <c r="P56" i="5"/>
  <c r="K56" i="5"/>
  <c r="F55" i="5"/>
  <c r="C50" i="5"/>
  <c r="P57" i="5"/>
  <c r="E51" i="5"/>
  <c r="P58" i="5"/>
  <c r="P67" i="5"/>
  <c r="P61" i="5"/>
  <c r="K61" i="5"/>
  <c r="F61" i="5"/>
  <c r="K67" i="5"/>
  <c r="F67" i="5"/>
  <c r="K55" i="5"/>
  <c r="P55" i="5"/>
  <c r="F57" i="5"/>
  <c r="K57" i="5"/>
  <c r="P70" i="5"/>
  <c r="P64" i="5"/>
  <c r="K64" i="5"/>
  <c r="K70" i="5"/>
  <c r="F70" i="5"/>
  <c r="F64" i="5"/>
  <c r="F58" i="5"/>
  <c r="P69" i="5"/>
  <c r="K63" i="5"/>
  <c r="K69" i="5"/>
  <c r="P63" i="5"/>
  <c r="F63" i="5"/>
  <c r="F69" i="5"/>
  <c r="K62" i="5"/>
  <c r="K68" i="5"/>
  <c r="P68" i="5"/>
  <c r="P62" i="5"/>
  <c r="F68" i="5"/>
  <c r="F62" i="5"/>
  <c r="K58" i="5"/>
  <c r="F56" i="5"/>
  <c r="F47" i="5"/>
  <c r="F50" i="5"/>
  <c r="C49" i="5"/>
  <c r="E50" i="5"/>
  <c r="E48" i="5"/>
  <c r="E47" i="5"/>
  <c r="D48" i="5"/>
  <c r="D50" i="5"/>
  <c r="D47" i="5"/>
  <c r="C48" i="5" l="1"/>
  <c r="C47" i="5"/>
</calcChain>
</file>

<file path=xl/sharedStrings.xml><?xml version="1.0" encoding="utf-8"?>
<sst xmlns="http://schemas.openxmlformats.org/spreadsheetml/2006/main" count="306" uniqueCount="111">
  <si>
    <t>F1 T1</t>
    <phoneticPr fontId="1" type="noConversion"/>
  </si>
  <si>
    <t>Parameter</t>
    <phoneticPr fontId="1" type="noConversion"/>
  </si>
  <si>
    <t>Unit</t>
    <phoneticPr fontId="1" type="noConversion"/>
  </si>
  <si>
    <t>Measured value</t>
    <phoneticPr fontId="1" type="noConversion"/>
  </si>
  <si>
    <t>Magnesium (Mg)</t>
    <phoneticPr fontId="1" type="noConversion"/>
  </si>
  <si>
    <t>Calcium (Ca)</t>
    <phoneticPr fontId="1" type="noConversion"/>
  </si>
  <si>
    <t>mmol/l</t>
    <phoneticPr fontId="1" type="noConversion"/>
  </si>
  <si>
    <t>mg/l</t>
    <phoneticPr fontId="1" type="noConversion"/>
  </si>
  <si>
    <t>dH</t>
    <phoneticPr fontId="1" type="noConversion"/>
  </si>
  <si>
    <t>mg/l</t>
    <phoneticPr fontId="1" type="noConversion"/>
  </si>
  <si>
    <t>mg/l</t>
    <phoneticPr fontId="1" type="noConversion"/>
  </si>
  <si>
    <t>mg/l</t>
    <phoneticPr fontId="1" type="noConversion"/>
  </si>
  <si>
    <t>mmol/l</t>
    <phoneticPr fontId="1" type="noConversion"/>
  </si>
  <si>
    <t>Lime/carbonic acid parameter:</t>
    <phoneticPr fontId="1" type="noConversion"/>
  </si>
  <si>
    <t>Carbon hardness</t>
    <phoneticPr fontId="1" type="noConversion"/>
  </si>
  <si>
    <t>Chloride (Cl)</t>
    <phoneticPr fontId="1" type="noConversion"/>
  </si>
  <si>
    <t>Nitrite (NO2)</t>
    <phoneticPr fontId="1" type="noConversion"/>
  </si>
  <si>
    <t>Nitrate (NO3)</t>
    <phoneticPr fontId="1" type="noConversion"/>
  </si>
  <si>
    <t>Sulfate (SO4)</t>
    <phoneticPr fontId="1" type="noConversion"/>
  </si>
  <si>
    <t>Total anions</t>
    <phoneticPr fontId="1" type="noConversion"/>
  </si>
  <si>
    <t>Anions:</t>
    <phoneticPr fontId="1" type="noConversion"/>
  </si>
  <si>
    <t>Cations:</t>
    <phoneticPr fontId="1" type="noConversion"/>
  </si>
  <si>
    <t>Sodium (Na)</t>
    <phoneticPr fontId="1" type="noConversion"/>
  </si>
  <si>
    <t>Ammonium (NH4)</t>
    <phoneticPr fontId="1" type="noConversion"/>
  </si>
  <si>
    <t>Potassium (K)</t>
    <phoneticPr fontId="1" type="noConversion"/>
  </si>
  <si>
    <t>Total cations</t>
    <phoneticPr fontId="1" type="noConversion"/>
  </si>
  <si>
    <t>Ion balance in %</t>
    <phoneticPr fontId="1" type="noConversion"/>
  </si>
  <si>
    <t>Iron/manganesium</t>
    <phoneticPr fontId="1" type="noConversion"/>
  </si>
  <si>
    <t>Iron (Fe)</t>
    <phoneticPr fontId="1" type="noConversion"/>
  </si>
  <si>
    <t>Iron filtered</t>
    <phoneticPr fontId="1" type="noConversion"/>
  </si>
  <si>
    <t>Iron II (Fe 2+)</t>
    <phoneticPr fontId="1" type="noConversion"/>
  </si>
  <si>
    <t>&lt;0.01</t>
    <phoneticPr fontId="1" type="noConversion"/>
  </si>
  <si>
    <t>&lt;0.1</t>
    <phoneticPr fontId="1" type="noConversion"/>
  </si>
  <si>
    <t>Acid capacity pH 4.3</t>
    <phoneticPr fontId="1" type="noConversion"/>
  </si>
  <si>
    <t>F1 T2</t>
    <phoneticPr fontId="1" type="noConversion"/>
  </si>
  <si>
    <t>F1 T3</t>
    <phoneticPr fontId="1" type="noConversion"/>
  </si>
  <si>
    <t>F1 T4</t>
    <phoneticPr fontId="1" type="noConversion"/>
  </si>
  <si>
    <t>%</t>
    <phoneticPr fontId="1" type="noConversion"/>
  </si>
  <si>
    <t>Anion:</t>
    <phoneticPr fontId="1" type="noConversion"/>
  </si>
  <si>
    <t>Chloride(Cl)</t>
    <phoneticPr fontId="1" type="noConversion"/>
  </si>
  <si>
    <t>Nitrite(NO2)</t>
    <phoneticPr fontId="1" type="noConversion"/>
  </si>
  <si>
    <t>Nitrate(NO3)</t>
    <phoneticPr fontId="1" type="noConversion"/>
  </si>
  <si>
    <t>Sulfate(SO4)</t>
    <phoneticPr fontId="1" type="noConversion"/>
  </si>
  <si>
    <t>Cation:</t>
    <phoneticPr fontId="1" type="noConversion"/>
  </si>
  <si>
    <t>Sodium(Na)</t>
    <phoneticPr fontId="1" type="noConversion"/>
  </si>
  <si>
    <t>Ammonium(NH4)</t>
    <phoneticPr fontId="1" type="noConversion"/>
  </si>
  <si>
    <t>Potassium(K)</t>
    <phoneticPr fontId="1" type="noConversion"/>
  </si>
  <si>
    <t>Calcium(Ca)</t>
    <phoneticPr fontId="1" type="noConversion"/>
  </si>
  <si>
    <t>Magnesium(Mg)</t>
    <phoneticPr fontId="1" type="noConversion"/>
  </si>
  <si>
    <t>Bicarbonate(HCO3)</t>
    <phoneticPr fontId="1" type="noConversion"/>
  </si>
  <si>
    <t>T1(mg/l)</t>
    <phoneticPr fontId="1" type="noConversion"/>
  </si>
  <si>
    <t>T2(mg/l)</t>
    <phoneticPr fontId="1" type="noConversion"/>
  </si>
  <si>
    <t>T3(mg/l)</t>
    <phoneticPr fontId="1" type="noConversion"/>
  </si>
  <si>
    <t>T4(mg/l)</t>
    <phoneticPr fontId="1" type="noConversion"/>
  </si>
  <si>
    <t>Bicarbonate (HCO3)</t>
    <phoneticPr fontId="1" type="noConversion"/>
  </si>
  <si>
    <t>Ion balance</t>
    <phoneticPr fontId="1" type="noConversion"/>
  </si>
  <si>
    <t>Molar mass(g/mol):</t>
    <phoneticPr fontId="1" type="noConversion"/>
  </si>
  <si>
    <t>Cation equivalent concentration(mmol/l)</t>
    <phoneticPr fontId="1" type="noConversion"/>
  </si>
  <si>
    <t>Iron(Fe)</t>
    <phoneticPr fontId="1" type="noConversion"/>
  </si>
  <si>
    <t>Ion strength(I)</t>
    <phoneticPr fontId="1" type="noConversion"/>
  </si>
  <si>
    <t>Acitivity(a)(mol/l)</t>
    <phoneticPr fontId="1" type="noConversion"/>
  </si>
  <si>
    <t>Anion equivalent concentration(mmol/l)</t>
    <phoneticPr fontId="1" type="noConversion"/>
  </si>
  <si>
    <t>Acid capacity pH 4.3</t>
    <phoneticPr fontId="1" type="noConversion"/>
  </si>
  <si>
    <t>SI</t>
    <phoneticPr fontId="1" type="noConversion"/>
  </si>
  <si>
    <t>CaSO4</t>
    <phoneticPr fontId="1" type="noConversion"/>
  </si>
  <si>
    <t>K</t>
    <phoneticPr fontId="1" type="noConversion"/>
  </si>
  <si>
    <t>CO3</t>
    <phoneticPr fontId="1" type="noConversion"/>
  </si>
  <si>
    <t>CaCO3(Calcite)</t>
    <phoneticPr fontId="1" type="noConversion"/>
  </si>
  <si>
    <t>FeCO3(Siderite)</t>
    <phoneticPr fontId="1" type="noConversion"/>
  </si>
  <si>
    <t>MgCO3</t>
    <phoneticPr fontId="1" type="noConversion"/>
  </si>
  <si>
    <t>Fe(OH)2</t>
    <phoneticPr fontId="1" type="noConversion"/>
  </si>
  <si>
    <t>Activity coefficient(γNH4)</t>
    <phoneticPr fontId="1" type="noConversion"/>
  </si>
  <si>
    <t>Activity coefficient(γK,Cl,NO2,NO3)</t>
    <phoneticPr fontId="1" type="noConversion"/>
  </si>
  <si>
    <t>Activity coefficient(γSO4)</t>
    <phoneticPr fontId="1" type="noConversion"/>
  </si>
  <si>
    <t>Activity coefficient(γNa,HCO3)</t>
    <phoneticPr fontId="1" type="noConversion"/>
  </si>
  <si>
    <t>Activity coefficient(γMg)</t>
    <phoneticPr fontId="1" type="noConversion"/>
  </si>
  <si>
    <t>Activity coefficient(γFe3)</t>
    <phoneticPr fontId="1" type="noConversion"/>
  </si>
  <si>
    <t>Activity coefficient(γCa,Fe2)</t>
    <phoneticPr fontId="1" type="noConversion"/>
  </si>
  <si>
    <t>Iron(Fe2)</t>
    <phoneticPr fontId="1" type="noConversion"/>
  </si>
  <si>
    <t>Iron(Fe3)</t>
    <phoneticPr fontId="1" type="noConversion"/>
  </si>
  <si>
    <t>Assumption 1 (detection limit)</t>
    <phoneticPr fontId="1" type="noConversion"/>
  </si>
  <si>
    <t>pE0</t>
    <phoneticPr fontId="1" type="noConversion"/>
  </si>
  <si>
    <t>pE</t>
    <phoneticPr fontId="1" type="noConversion"/>
  </si>
  <si>
    <t>T1</t>
    <phoneticPr fontId="1" type="noConversion"/>
  </si>
  <si>
    <t>T2</t>
  </si>
  <si>
    <t>T3</t>
  </si>
  <si>
    <t>T4</t>
  </si>
  <si>
    <t>Assumption 2 (all percipitations are Fe3)</t>
    <phoneticPr fontId="1" type="noConversion"/>
  </si>
  <si>
    <t>Assumption 3 (solubility equilibrium)</t>
    <phoneticPr fontId="1" type="noConversion"/>
  </si>
  <si>
    <t>[Fe3]</t>
    <phoneticPr fontId="1" type="noConversion"/>
  </si>
  <si>
    <t>(FeOOH)</t>
    <phoneticPr fontId="1" type="noConversion"/>
  </si>
  <si>
    <t>(Fe(OH)3)</t>
    <phoneticPr fontId="1" type="noConversion"/>
  </si>
  <si>
    <t>Redox potential Fe2/Fe3</t>
    <phoneticPr fontId="1" type="noConversion"/>
  </si>
  <si>
    <t>Redox potential NH4/NO3</t>
    <phoneticPr fontId="1" type="noConversion"/>
  </si>
  <si>
    <t>EH (V)</t>
    <phoneticPr fontId="1" type="noConversion"/>
  </si>
  <si>
    <t>Hydrooxide(OH)</t>
    <phoneticPr fontId="1" type="noConversion"/>
  </si>
  <si>
    <t>Carbon balance</t>
    <phoneticPr fontId="1" type="noConversion"/>
  </si>
  <si>
    <t>K value</t>
    <phoneticPr fontId="1" type="noConversion"/>
  </si>
  <si>
    <t>CO2(g)+H2O ⇌ H2CO3</t>
    <phoneticPr fontId="1" type="noConversion"/>
  </si>
  <si>
    <t>a(CO2(g))</t>
    <phoneticPr fontId="1" type="noConversion"/>
  </si>
  <si>
    <t>H2CO3 ⇌ H+HCO3</t>
    <phoneticPr fontId="1" type="noConversion"/>
  </si>
  <si>
    <t>a(H2CO3)</t>
    <phoneticPr fontId="1" type="noConversion"/>
  </si>
  <si>
    <t>HCO3 ⇌ H+CO3</t>
    <phoneticPr fontId="1" type="noConversion"/>
  </si>
  <si>
    <t>a(CO3)</t>
    <phoneticPr fontId="1" type="noConversion"/>
  </si>
  <si>
    <t>pH=</t>
    <phoneticPr fontId="1" type="noConversion"/>
  </si>
  <si>
    <t>T1(mol/l)</t>
    <phoneticPr fontId="1" type="noConversion"/>
  </si>
  <si>
    <t>T2(mol/l)</t>
    <phoneticPr fontId="1" type="noConversion"/>
  </si>
  <si>
    <t>T3(mol/l)</t>
    <phoneticPr fontId="1" type="noConversion"/>
  </si>
  <si>
    <t>T4(mol/l)</t>
    <phoneticPr fontId="1" type="noConversion"/>
  </si>
  <si>
    <t>Fe+3 calculation (phreeqc)</t>
    <phoneticPr fontId="1" type="noConversion"/>
  </si>
  <si>
    <r>
      <t>K(10.2</t>
    </r>
    <r>
      <rPr>
        <sz val="11"/>
        <color theme="1"/>
        <rFont val="Calibri"/>
        <family val="2"/>
      </rPr>
      <t>°</t>
    </r>
    <r>
      <rPr>
        <sz val="11"/>
        <color theme="1"/>
        <rFont val="Arial Unicode MS"/>
        <family val="2"/>
        <charset val="134"/>
      </rPr>
      <t>C)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</si>
</sst>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 "/>
    <numFmt numFmtId="177" formatCode="0.0_ "/>
    <numFmt numFmtId="178" formatCode="0.000_ "/>
    <numFmt numFmtId="179" formatCode="0.000%"/>
    <numFmt numFmtId="180" formatCode="0.000_);[Red]\(0.000\)"/>
    <numFmt numFmtId="181" formatCode="0.00000E+00"/>
    <numFmt numFmtId="182" formatCode="0.00000000_ "/>
    <numFmt numFmtId="183" formatCode="0.00000000_);[Red]\(0.00000000\)"/>
    <numFmt numFmtId="184" formatCode="0.0_);[Red]\(0.0\)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 Unicode MS"/>
      <family val="2"/>
      <charset val="134"/>
    </font>
    <font>
      <sz val="11"/>
      <color theme="1"/>
      <name val="等线"/>
      <family val="2"/>
      <charset val="134"/>
      <scheme val="minor"/>
    </font>
    <font>
      <b/>
      <sz val="11"/>
      <color theme="1"/>
      <name val="Arial Unicode MS"/>
      <family val="2"/>
      <charset val="134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9" fontId="2" fillId="0" borderId="0" xfId="1" applyNumberFormat="1" applyFont="1">
      <alignment vertical="center"/>
    </xf>
    <xf numFmtId="180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>
      <alignment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quotePrefix="1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182" fontId="2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1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5" sqref="A5:C5"/>
    </sheetView>
  </sheetViews>
  <sheetFormatPr defaultRowHeight="16.5" x14ac:dyDescent="0.2"/>
  <cols>
    <col min="1" max="1" width="19.875" style="1" bestFit="1" customWidth="1"/>
    <col min="2" max="2" width="7" style="1" bestFit="1" customWidth="1"/>
    <col min="3" max="3" width="15.125" style="1" bestFit="1" customWidth="1"/>
    <col min="4" max="16384" width="9" style="1"/>
  </cols>
  <sheetData>
    <row r="1" spans="1:4" x14ac:dyDescent="0.2">
      <c r="A1" s="1" t="s">
        <v>0</v>
      </c>
    </row>
    <row r="2" spans="1:4" x14ac:dyDescent="0.2">
      <c r="A2" s="1" t="s">
        <v>1</v>
      </c>
      <c r="B2" s="1" t="s">
        <v>2</v>
      </c>
      <c r="C2" s="1" t="s">
        <v>3</v>
      </c>
    </row>
    <row r="3" spans="1:4" x14ac:dyDescent="0.2">
      <c r="A3" s="28" t="s">
        <v>13</v>
      </c>
      <c r="B3" s="28"/>
      <c r="C3" s="28"/>
    </row>
    <row r="4" spans="1:4" x14ac:dyDescent="0.2">
      <c r="A4" s="1" t="s">
        <v>62</v>
      </c>
      <c r="B4" s="1" t="s">
        <v>6</v>
      </c>
      <c r="C4" s="3">
        <v>4.92</v>
      </c>
    </row>
    <row r="5" spans="1:4" x14ac:dyDescent="0.2">
      <c r="A5" s="1" t="s">
        <v>54</v>
      </c>
      <c r="B5" s="1" t="s">
        <v>7</v>
      </c>
      <c r="C5" s="5">
        <v>297.2</v>
      </c>
    </row>
    <row r="6" spans="1:4" x14ac:dyDescent="0.2">
      <c r="A6" s="1" t="s">
        <v>14</v>
      </c>
      <c r="B6" s="1" t="s">
        <v>8</v>
      </c>
      <c r="C6" s="3">
        <v>13.78</v>
      </c>
    </row>
    <row r="8" spans="1:4" x14ac:dyDescent="0.2">
      <c r="A8" s="28" t="s">
        <v>20</v>
      </c>
      <c r="B8" s="28"/>
      <c r="C8" s="28"/>
    </row>
    <row r="9" spans="1:4" x14ac:dyDescent="0.2">
      <c r="A9" s="1" t="s">
        <v>15</v>
      </c>
      <c r="B9" s="1" t="s">
        <v>9</v>
      </c>
      <c r="C9" s="5">
        <v>16.100000000000001</v>
      </c>
      <c r="D9" s="6"/>
    </row>
    <row r="10" spans="1:4" x14ac:dyDescent="0.2">
      <c r="A10" s="1" t="s">
        <v>16</v>
      </c>
      <c r="B10" s="1" t="s">
        <v>9</v>
      </c>
      <c r="C10" s="4" t="s">
        <v>31</v>
      </c>
      <c r="D10" s="6"/>
    </row>
    <row r="11" spans="1:4" x14ac:dyDescent="0.2">
      <c r="A11" s="1" t="s">
        <v>17</v>
      </c>
      <c r="B11" s="1" t="s">
        <v>10</v>
      </c>
      <c r="C11" s="4" t="s">
        <v>32</v>
      </c>
      <c r="D11" s="6"/>
    </row>
    <row r="12" spans="1:4" x14ac:dyDescent="0.2">
      <c r="A12" s="1" t="s">
        <v>18</v>
      </c>
      <c r="B12" s="1" t="s">
        <v>11</v>
      </c>
      <c r="C12" s="5">
        <v>16.5</v>
      </c>
      <c r="D12" s="6"/>
    </row>
    <row r="13" spans="1:4" x14ac:dyDescent="0.2">
      <c r="A13" s="1" t="s">
        <v>19</v>
      </c>
      <c r="B13" s="1" t="s">
        <v>12</v>
      </c>
      <c r="C13" s="3">
        <v>5.72</v>
      </c>
      <c r="D13" s="6"/>
    </row>
    <row r="14" spans="1:4" x14ac:dyDescent="0.2">
      <c r="D14" s="6"/>
    </row>
    <row r="15" spans="1:4" x14ac:dyDescent="0.2">
      <c r="A15" s="28" t="s">
        <v>21</v>
      </c>
      <c r="B15" s="28"/>
      <c r="C15" s="28"/>
      <c r="D15" s="6"/>
    </row>
    <row r="16" spans="1:4" x14ac:dyDescent="0.2">
      <c r="A16" s="1" t="s">
        <v>22</v>
      </c>
      <c r="B16" s="1" t="s">
        <v>11</v>
      </c>
      <c r="C16" s="3">
        <v>9.0500000000000007</v>
      </c>
      <c r="D16" s="6"/>
    </row>
    <row r="17" spans="1:4" x14ac:dyDescent="0.2">
      <c r="A17" s="1" t="s">
        <v>23</v>
      </c>
      <c r="B17" s="1" t="s">
        <v>11</v>
      </c>
      <c r="C17" s="4" t="s">
        <v>32</v>
      </c>
      <c r="D17" s="6"/>
    </row>
    <row r="18" spans="1:4" x14ac:dyDescent="0.2">
      <c r="A18" s="1" t="s">
        <v>24</v>
      </c>
      <c r="B18" s="1" t="s">
        <v>11</v>
      </c>
      <c r="C18" s="3">
        <v>1.7</v>
      </c>
      <c r="D18" s="6"/>
    </row>
    <row r="19" spans="1:4" x14ac:dyDescent="0.2">
      <c r="A19" s="1" t="s">
        <v>5</v>
      </c>
      <c r="B19" s="1" t="s">
        <v>11</v>
      </c>
      <c r="C19" s="5">
        <v>96.7</v>
      </c>
      <c r="D19" s="6"/>
    </row>
    <row r="20" spans="1:4" x14ac:dyDescent="0.2">
      <c r="A20" s="1" t="s">
        <v>4</v>
      </c>
      <c r="B20" s="1" t="s">
        <v>11</v>
      </c>
      <c r="C20" s="3">
        <v>6.6</v>
      </c>
      <c r="D20" s="6"/>
    </row>
    <row r="21" spans="1:4" x14ac:dyDescent="0.2">
      <c r="A21" s="1" t="s">
        <v>25</v>
      </c>
      <c r="B21" s="1" t="s">
        <v>6</v>
      </c>
      <c r="C21" s="3">
        <v>5.81</v>
      </c>
    </row>
    <row r="22" spans="1:4" x14ac:dyDescent="0.2">
      <c r="A22" s="1" t="s">
        <v>26</v>
      </c>
      <c r="B22" s="1" t="s">
        <v>37</v>
      </c>
      <c r="C22" s="3">
        <v>-1.56</v>
      </c>
    </row>
    <row r="24" spans="1:4" x14ac:dyDescent="0.2">
      <c r="A24" s="28" t="s">
        <v>27</v>
      </c>
      <c r="B24" s="28"/>
      <c r="C24" s="28"/>
    </row>
    <row r="25" spans="1:4" x14ac:dyDescent="0.2">
      <c r="A25" s="1" t="s">
        <v>28</v>
      </c>
      <c r="B25" s="1" t="s">
        <v>9</v>
      </c>
      <c r="C25" s="3">
        <v>0.59</v>
      </c>
    </row>
    <row r="26" spans="1:4" x14ac:dyDescent="0.2">
      <c r="A26" s="1" t="s">
        <v>29</v>
      </c>
      <c r="B26" s="1" t="s">
        <v>9</v>
      </c>
      <c r="C26" s="3">
        <v>0.5</v>
      </c>
    </row>
    <row r="27" spans="1:4" x14ac:dyDescent="0.2">
      <c r="A27" s="1" t="s">
        <v>30</v>
      </c>
      <c r="B27" s="1" t="s">
        <v>9</v>
      </c>
      <c r="C27" s="3">
        <v>0.5</v>
      </c>
    </row>
    <row r="28" spans="1:4" x14ac:dyDescent="0.2">
      <c r="C28" s="2"/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5" sqref="A5"/>
    </sheetView>
  </sheetViews>
  <sheetFormatPr defaultRowHeight="14.25" x14ac:dyDescent="0.2"/>
  <cols>
    <col min="1" max="1" width="19.875" bestFit="1" customWidth="1"/>
    <col min="2" max="2" width="7" bestFit="1" customWidth="1"/>
    <col min="3" max="3" width="15.125" bestFit="1" customWidth="1"/>
  </cols>
  <sheetData>
    <row r="1" spans="1:3" ht="16.5" x14ac:dyDescent="0.2">
      <c r="A1" s="1" t="s">
        <v>34</v>
      </c>
      <c r="B1" s="1"/>
      <c r="C1" s="1"/>
    </row>
    <row r="2" spans="1:3" ht="16.5" x14ac:dyDescent="0.2">
      <c r="A2" s="1" t="s">
        <v>1</v>
      </c>
      <c r="B2" s="1" t="s">
        <v>2</v>
      </c>
      <c r="C2" s="1" t="s">
        <v>3</v>
      </c>
    </row>
    <row r="3" spans="1:3" ht="16.5" x14ac:dyDescent="0.2">
      <c r="A3" s="28" t="s">
        <v>13</v>
      </c>
      <c r="B3" s="28"/>
      <c r="C3" s="28"/>
    </row>
    <row r="4" spans="1:3" ht="16.5" x14ac:dyDescent="0.2">
      <c r="A4" s="1" t="s">
        <v>33</v>
      </c>
      <c r="B4" s="1" t="s">
        <v>6</v>
      </c>
      <c r="C4" s="3">
        <v>4.95</v>
      </c>
    </row>
    <row r="5" spans="1:3" ht="16.5" x14ac:dyDescent="0.2">
      <c r="A5" s="1" t="s">
        <v>54</v>
      </c>
      <c r="B5" s="1" t="s">
        <v>7</v>
      </c>
      <c r="C5" s="5">
        <v>299</v>
      </c>
    </row>
    <row r="6" spans="1:3" ht="16.5" x14ac:dyDescent="0.2">
      <c r="A6" s="1" t="s">
        <v>14</v>
      </c>
      <c r="B6" s="1" t="s">
        <v>8</v>
      </c>
      <c r="C6" s="3">
        <v>13.86</v>
      </c>
    </row>
    <row r="7" spans="1:3" ht="16.5" x14ac:dyDescent="0.2">
      <c r="A7" s="1"/>
      <c r="B7" s="1"/>
      <c r="C7" s="1"/>
    </row>
    <row r="8" spans="1:3" ht="16.5" x14ac:dyDescent="0.2">
      <c r="A8" s="28" t="s">
        <v>20</v>
      </c>
      <c r="B8" s="28"/>
      <c r="C8" s="28"/>
    </row>
    <row r="9" spans="1:3" ht="16.5" x14ac:dyDescent="0.2">
      <c r="A9" s="1" t="s">
        <v>15</v>
      </c>
      <c r="B9" s="1" t="s">
        <v>9</v>
      </c>
      <c r="C9" s="5">
        <v>16.399999999999999</v>
      </c>
    </row>
    <row r="10" spans="1:3" ht="16.5" x14ac:dyDescent="0.2">
      <c r="A10" s="1" t="s">
        <v>16</v>
      </c>
      <c r="B10" s="1" t="s">
        <v>9</v>
      </c>
      <c r="C10" s="4" t="s">
        <v>31</v>
      </c>
    </row>
    <row r="11" spans="1:3" ht="16.5" x14ac:dyDescent="0.2">
      <c r="A11" s="1" t="s">
        <v>17</v>
      </c>
      <c r="B11" s="1" t="s">
        <v>10</v>
      </c>
      <c r="C11" s="4" t="s">
        <v>32</v>
      </c>
    </row>
    <row r="12" spans="1:3" ht="16.5" x14ac:dyDescent="0.2">
      <c r="A12" s="1" t="s">
        <v>18</v>
      </c>
      <c r="B12" s="1" t="s">
        <v>11</v>
      </c>
      <c r="C12" s="5">
        <v>17.100000000000001</v>
      </c>
    </row>
    <row r="13" spans="1:3" ht="16.5" x14ac:dyDescent="0.2">
      <c r="A13" s="1" t="s">
        <v>19</v>
      </c>
      <c r="B13" s="1" t="s">
        <v>12</v>
      </c>
      <c r="C13" s="3">
        <v>5.77</v>
      </c>
    </row>
    <row r="14" spans="1:3" ht="16.5" x14ac:dyDescent="0.2">
      <c r="A14" s="1"/>
      <c r="B14" s="1"/>
      <c r="C14" s="1"/>
    </row>
    <row r="15" spans="1:3" ht="16.5" x14ac:dyDescent="0.2">
      <c r="A15" s="28" t="s">
        <v>21</v>
      </c>
      <c r="B15" s="28"/>
      <c r="C15" s="28"/>
    </row>
    <row r="16" spans="1:3" ht="16.5" x14ac:dyDescent="0.2">
      <c r="A16" s="1" t="s">
        <v>22</v>
      </c>
      <c r="B16" s="1" t="s">
        <v>11</v>
      </c>
      <c r="C16" s="3">
        <v>8.93</v>
      </c>
    </row>
    <row r="17" spans="1:3" ht="16.5" x14ac:dyDescent="0.2">
      <c r="A17" s="1" t="s">
        <v>23</v>
      </c>
      <c r="B17" s="1" t="s">
        <v>11</v>
      </c>
      <c r="C17" s="4" t="s">
        <v>32</v>
      </c>
    </row>
    <row r="18" spans="1:3" ht="16.5" x14ac:dyDescent="0.2">
      <c r="A18" s="1" t="s">
        <v>24</v>
      </c>
      <c r="B18" s="1" t="s">
        <v>11</v>
      </c>
      <c r="C18" s="3">
        <v>1.6</v>
      </c>
    </row>
    <row r="19" spans="1:3" ht="16.5" x14ac:dyDescent="0.2">
      <c r="A19" s="1" t="s">
        <v>5</v>
      </c>
      <c r="B19" s="1" t="s">
        <v>11</v>
      </c>
      <c r="C19" s="5">
        <v>96.9</v>
      </c>
    </row>
    <row r="20" spans="1:3" ht="16.5" x14ac:dyDescent="0.2">
      <c r="A20" s="1" t="s">
        <v>4</v>
      </c>
      <c r="B20" s="1" t="s">
        <v>11</v>
      </c>
      <c r="C20" s="3">
        <v>7.29</v>
      </c>
    </row>
    <row r="21" spans="1:3" ht="16.5" x14ac:dyDescent="0.2">
      <c r="A21" s="1" t="s">
        <v>25</v>
      </c>
      <c r="B21" s="1" t="s">
        <v>6</v>
      </c>
      <c r="C21" s="3">
        <v>5.87</v>
      </c>
    </row>
    <row r="22" spans="1:3" ht="16.5" x14ac:dyDescent="0.2">
      <c r="A22" s="1" t="s">
        <v>26</v>
      </c>
      <c r="B22" s="1" t="s">
        <v>37</v>
      </c>
      <c r="C22" s="3">
        <v>-1.72</v>
      </c>
    </row>
    <row r="23" spans="1:3" ht="16.5" x14ac:dyDescent="0.2">
      <c r="A23" s="1"/>
      <c r="B23" s="1"/>
      <c r="C23" s="1"/>
    </row>
    <row r="24" spans="1:3" ht="16.5" x14ac:dyDescent="0.2">
      <c r="A24" s="28" t="s">
        <v>27</v>
      </c>
      <c r="B24" s="28"/>
      <c r="C24" s="28"/>
    </row>
    <row r="25" spans="1:3" ht="16.5" x14ac:dyDescent="0.2">
      <c r="A25" s="1" t="s">
        <v>28</v>
      </c>
      <c r="B25" s="1" t="s">
        <v>9</v>
      </c>
      <c r="C25" s="3">
        <v>0.99</v>
      </c>
    </row>
    <row r="26" spans="1:3" ht="16.5" x14ac:dyDescent="0.2">
      <c r="A26" s="1" t="s">
        <v>29</v>
      </c>
      <c r="B26" s="1" t="s">
        <v>9</v>
      </c>
      <c r="C26" s="3">
        <v>0.9</v>
      </c>
    </row>
    <row r="27" spans="1:3" ht="16.5" x14ac:dyDescent="0.2">
      <c r="A27" s="1" t="s">
        <v>30</v>
      </c>
      <c r="B27" s="1" t="s">
        <v>9</v>
      </c>
      <c r="C27" s="3">
        <v>0.9</v>
      </c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5" sqref="A5"/>
    </sheetView>
  </sheetViews>
  <sheetFormatPr defaultRowHeight="14.25" x14ac:dyDescent="0.2"/>
  <cols>
    <col min="1" max="1" width="19.875" bestFit="1" customWidth="1"/>
    <col min="2" max="2" width="7" bestFit="1" customWidth="1"/>
    <col min="3" max="3" width="15.125" bestFit="1" customWidth="1"/>
  </cols>
  <sheetData>
    <row r="1" spans="1:3" ht="16.5" x14ac:dyDescent="0.2">
      <c r="A1" s="1" t="s">
        <v>35</v>
      </c>
      <c r="B1" s="1"/>
      <c r="C1" s="1"/>
    </row>
    <row r="2" spans="1:3" ht="16.5" x14ac:dyDescent="0.2">
      <c r="A2" s="1" t="s">
        <v>1</v>
      </c>
      <c r="B2" s="1" t="s">
        <v>2</v>
      </c>
      <c r="C2" s="1" t="s">
        <v>3</v>
      </c>
    </row>
    <row r="3" spans="1:3" ht="16.5" x14ac:dyDescent="0.2">
      <c r="A3" s="28" t="s">
        <v>13</v>
      </c>
      <c r="B3" s="28"/>
      <c r="C3" s="28"/>
    </row>
    <row r="4" spans="1:3" ht="16.5" x14ac:dyDescent="0.2">
      <c r="A4" s="1" t="s">
        <v>33</v>
      </c>
      <c r="B4" s="1" t="s">
        <v>6</v>
      </c>
      <c r="C4" s="3">
        <v>4.8499999999999996</v>
      </c>
    </row>
    <row r="5" spans="1:3" ht="16.5" x14ac:dyDescent="0.2">
      <c r="A5" s="1" t="s">
        <v>54</v>
      </c>
      <c r="B5" s="1" t="s">
        <v>7</v>
      </c>
      <c r="C5" s="5">
        <v>292.89999999999998</v>
      </c>
    </row>
    <row r="6" spans="1:3" ht="16.5" x14ac:dyDescent="0.2">
      <c r="A6" s="1" t="s">
        <v>14</v>
      </c>
      <c r="B6" s="1" t="s">
        <v>8</v>
      </c>
      <c r="C6" s="3">
        <v>13.58</v>
      </c>
    </row>
    <row r="7" spans="1:3" ht="16.5" x14ac:dyDescent="0.2">
      <c r="A7" s="1"/>
      <c r="B7" s="1"/>
      <c r="C7" s="1"/>
    </row>
    <row r="8" spans="1:3" ht="16.5" x14ac:dyDescent="0.2">
      <c r="A8" s="28" t="s">
        <v>20</v>
      </c>
      <c r="B8" s="28"/>
      <c r="C8" s="28"/>
    </row>
    <row r="9" spans="1:3" ht="16.5" x14ac:dyDescent="0.2">
      <c r="A9" s="1" t="s">
        <v>15</v>
      </c>
      <c r="B9" s="1" t="s">
        <v>9</v>
      </c>
      <c r="C9" s="5">
        <v>16.399999999999999</v>
      </c>
    </row>
    <row r="10" spans="1:3" ht="16.5" x14ac:dyDescent="0.2">
      <c r="A10" s="1" t="s">
        <v>16</v>
      </c>
      <c r="B10" s="1" t="s">
        <v>9</v>
      </c>
      <c r="C10" s="4" t="s">
        <v>31</v>
      </c>
    </row>
    <row r="11" spans="1:3" ht="16.5" x14ac:dyDescent="0.2">
      <c r="A11" s="1" t="s">
        <v>17</v>
      </c>
      <c r="B11" s="1" t="s">
        <v>10</v>
      </c>
      <c r="C11" s="4" t="s">
        <v>32</v>
      </c>
    </row>
    <row r="12" spans="1:3" ht="16.5" x14ac:dyDescent="0.2">
      <c r="A12" s="1" t="s">
        <v>18</v>
      </c>
      <c r="B12" s="1" t="s">
        <v>11</v>
      </c>
      <c r="C12" s="5">
        <v>16.899999999999999</v>
      </c>
    </row>
    <row r="13" spans="1:3" ht="16.5" x14ac:dyDescent="0.2">
      <c r="A13" s="1" t="s">
        <v>19</v>
      </c>
      <c r="B13" s="1" t="s">
        <v>12</v>
      </c>
      <c r="C13" s="3">
        <v>5.67</v>
      </c>
    </row>
    <row r="14" spans="1:3" ht="16.5" x14ac:dyDescent="0.2">
      <c r="A14" s="1"/>
      <c r="B14" s="1"/>
      <c r="C14" s="1"/>
    </row>
    <row r="15" spans="1:3" ht="16.5" x14ac:dyDescent="0.2">
      <c r="A15" s="28" t="s">
        <v>21</v>
      </c>
      <c r="B15" s="28"/>
      <c r="C15" s="28"/>
    </row>
    <row r="16" spans="1:3" ht="16.5" x14ac:dyDescent="0.2">
      <c r="A16" s="1" t="s">
        <v>22</v>
      </c>
      <c r="B16" s="1" t="s">
        <v>11</v>
      </c>
      <c r="C16" s="3">
        <v>9.02</v>
      </c>
    </row>
    <row r="17" spans="1:3" ht="16.5" x14ac:dyDescent="0.2">
      <c r="A17" s="1" t="s">
        <v>23</v>
      </c>
      <c r="B17" s="1" t="s">
        <v>11</v>
      </c>
      <c r="C17" s="4" t="s">
        <v>32</v>
      </c>
    </row>
    <row r="18" spans="1:3" ht="16.5" x14ac:dyDescent="0.2">
      <c r="A18" s="1" t="s">
        <v>24</v>
      </c>
      <c r="B18" s="1" t="s">
        <v>11</v>
      </c>
      <c r="C18" s="3">
        <v>1.6</v>
      </c>
    </row>
    <row r="19" spans="1:3" ht="16.5" x14ac:dyDescent="0.2">
      <c r="A19" s="1" t="s">
        <v>5</v>
      </c>
      <c r="B19" s="1" t="s">
        <v>11</v>
      </c>
      <c r="C19" s="5">
        <v>96.2</v>
      </c>
    </row>
    <row r="20" spans="1:3" ht="16.5" x14ac:dyDescent="0.2">
      <c r="A20" s="1" t="s">
        <v>4</v>
      </c>
      <c r="B20" s="1" t="s">
        <v>11</v>
      </c>
      <c r="C20" s="3">
        <v>6.9</v>
      </c>
    </row>
    <row r="21" spans="1:3" ht="16.5" x14ac:dyDescent="0.2">
      <c r="A21" s="1" t="s">
        <v>25</v>
      </c>
      <c r="B21" s="1" t="s">
        <v>6</v>
      </c>
      <c r="C21" s="3">
        <v>5.81</v>
      </c>
    </row>
    <row r="22" spans="1:3" ht="16.5" x14ac:dyDescent="0.2">
      <c r="A22" s="1" t="s">
        <v>26</v>
      </c>
      <c r="B22" s="1" t="s">
        <v>37</v>
      </c>
      <c r="C22" s="3">
        <v>-2.44</v>
      </c>
    </row>
    <row r="23" spans="1:3" ht="16.5" x14ac:dyDescent="0.2">
      <c r="A23" s="1"/>
      <c r="B23" s="1"/>
      <c r="C23" s="1"/>
    </row>
    <row r="24" spans="1:3" ht="16.5" x14ac:dyDescent="0.2">
      <c r="A24" s="28" t="s">
        <v>27</v>
      </c>
      <c r="B24" s="28"/>
      <c r="C24" s="28"/>
    </row>
    <row r="25" spans="1:3" ht="16.5" x14ac:dyDescent="0.2">
      <c r="A25" s="1" t="s">
        <v>28</v>
      </c>
      <c r="B25" s="1" t="s">
        <v>9</v>
      </c>
      <c r="C25" s="3">
        <v>0.95</v>
      </c>
    </row>
    <row r="26" spans="1:3" ht="16.5" x14ac:dyDescent="0.2">
      <c r="A26" s="1" t="s">
        <v>29</v>
      </c>
      <c r="B26" s="1" t="s">
        <v>9</v>
      </c>
      <c r="C26" s="3">
        <v>0.9</v>
      </c>
    </row>
    <row r="27" spans="1:3" ht="16.5" x14ac:dyDescent="0.2">
      <c r="A27" s="1" t="s">
        <v>30</v>
      </c>
      <c r="B27" s="1" t="s">
        <v>9</v>
      </c>
      <c r="C27" s="3">
        <v>0.9</v>
      </c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6" sqref="B26"/>
    </sheetView>
  </sheetViews>
  <sheetFormatPr defaultRowHeight="14.25" x14ac:dyDescent="0.2"/>
  <cols>
    <col min="1" max="1" width="19.875" bestFit="1" customWidth="1"/>
    <col min="2" max="2" width="7" bestFit="1" customWidth="1"/>
    <col min="3" max="3" width="15.125" bestFit="1" customWidth="1"/>
  </cols>
  <sheetData>
    <row r="1" spans="1:3" ht="16.5" x14ac:dyDescent="0.2">
      <c r="A1" s="1" t="s">
        <v>36</v>
      </c>
      <c r="B1" s="1"/>
      <c r="C1" s="1"/>
    </row>
    <row r="2" spans="1:3" ht="16.5" x14ac:dyDescent="0.2">
      <c r="A2" s="1" t="s">
        <v>1</v>
      </c>
      <c r="B2" s="1" t="s">
        <v>2</v>
      </c>
      <c r="C2" s="1" t="s">
        <v>3</v>
      </c>
    </row>
    <row r="3" spans="1:3" ht="16.5" x14ac:dyDescent="0.2">
      <c r="A3" s="28" t="s">
        <v>13</v>
      </c>
      <c r="B3" s="28"/>
      <c r="C3" s="28"/>
    </row>
    <row r="4" spans="1:3" ht="16.5" x14ac:dyDescent="0.2">
      <c r="A4" s="1" t="s">
        <v>33</v>
      </c>
      <c r="B4" s="1" t="s">
        <v>6</v>
      </c>
      <c r="C4" s="3">
        <v>4.88</v>
      </c>
    </row>
    <row r="5" spans="1:3" ht="16.5" x14ac:dyDescent="0.2">
      <c r="A5" s="1" t="s">
        <v>54</v>
      </c>
      <c r="B5" s="1" t="s">
        <v>7</v>
      </c>
      <c r="C5" s="5">
        <v>294.7</v>
      </c>
    </row>
    <row r="6" spans="1:3" ht="16.5" x14ac:dyDescent="0.2">
      <c r="A6" s="1" t="s">
        <v>14</v>
      </c>
      <c r="B6" s="1" t="s">
        <v>8</v>
      </c>
      <c r="C6" s="3">
        <v>13.66</v>
      </c>
    </row>
    <row r="7" spans="1:3" ht="16.5" x14ac:dyDescent="0.2">
      <c r="A7" s="1"/>
      <c r="B7" s="1"/>
      <c r="C7" s="1"/>
    </row>
    <row r="8" spans="1:3" ht="16.5" x14ac:dyDescent="0.2">
      <c r="A8" s="28" t="s">
        <v>20</v>
      </c>
      <c r="B8" s="28"/>
      <c r="C8" s="28"/>
    </row>
    <row r="9" spans="1:3" ht="16.5" x14ac:dyDescent="0.2">
      <c r="A9" s="1" t="s">
        <v>15</v>
      </c>
      <c r="B9" s="1" t="s">
        <v>9</v>
      </c>
      <c r="C9" s="5">
        <v>16.3</v>
      </c>
    </row>
    <row r="10" spans="1:3" ht="16.5" x14ac:dyDescent="0.2">
      <c r="A10" s="1" t="s">
        <v>16</v>
      </c>
      <c r="B10" s="1" t="s">
        <v>9</v>
      </c>
      <c r="C10" s="4" t="s">
        <v>31</v>
      </c>
    </row>
    <row r="11" spans="1:3" ht="16.5" x14ac:dyDescent="0.2">
      <c r="A11" s="1" t="s">
        <v>17</v>
      </c>
      <c r="B11" s="1" t="s">
        <v>10</v>
      </c>
      <c r="C11" s="4" t="s">
        <v>32</v>
      </c>
    </row>
    <row r="12" spans="1:3" ht="16.5" x14ac:dyDescent="0.2">
      <c r="A12" s="1" t="s">
        <v>18</v>
      </c>
      <c r="B12" s="1" t="s">
        <v>11</v>
      </c>
      <c r="C12" s="5">
        <v>16.899999999999999</v>
      </c>
    </row>
    <row r="13" spans="1:3" ht="16.5" x14ac:dyDescent="0.2">
      <c r="A13" s="1" t="s">
        <v>19</v>
      </c>
      <c r="B13" s="1" t="s">
        <v>12</v>
      </c>
      <c r="C13" s="3">
        <v>5.69</v>
      </c>
    </row>
    <row r="14" spans="1:3" ht="16.5" x14ac:dyDescent="0.2">
      <c r="A14" s="1"/>
      <c r="B14" s="1"/>
      <c r="C14" s="1"/>
    </row>
    <row r="15" spans="1:3" ht="16.5" x14ac:dyDescent="0.2">
      <c r="A15" s="28" t="s">
        <v>21</v>
      </c>
      <c r="B15" s="28"/>
      <c r="C15" s="28"/>
    </row>
    <row r="16" spans="1:3" ht="16.5" x14ac:dyDescent="0.2">
      <c r="A16" s="1" t="s">
        <v>22</v>
      </c>
      <c r="B16" s="1" t="s">
        <v>11</v>
      </c>
      <c r="C16" s="3">
        <v>9.09</v>
      </c>
    </row>
    <row r="17" spans="1:3" ht="16.5" x14ac:dyDescent="0.2">
      <c r="A17" s="1" t="s">
        <v>23</v>
      </c>
      <c r="B17" s="1" t="s">
        <v>11</v>
      </c>
      <c r="C17" s="4" t="s">
        <v>32</v>
      </c>
    </row>
    <row r="18" spans="1:3" ht="16.5" x14ac:dyDescent="0.2">
      <c r="A18" s="1" t="s">
        <v>24</v>
      </c>
      <c r="B18" s="1" t="s">
        <v>11</v>
      </c>
      <c r="C18" s="3">
        <v>1.63</v>
      </c>
    </row>
    <row r="19" spans="1:3" ht="16.5" x14ac:dyDescent="0.2">
      <c r="A19" s="1" t="s">
        <v>5</v>
      </c>
      <c r="B19" s="1" t="s">
        <v>11</v>
      </c>
      <c r="C19" s="5">
        <v>97.2</v>
      </c>
    </row>
    <row r="20" spans="1:3" ht="16.5" x14ac:dyDescent="0.2">
      <c r="A20" s="1" t="s">
        <v>4</v>
      </c>
      <c r="B20" s="1" t="s">
        <v>11</v>
      </c>
      <c r="C20" s="3">
        <v>7.02</v>
      </c>
    </row>
    <row r="21" spans="1:3" ht="16.5" x14ac:dyDescent="0.2">
      <c r="A21" s="1" t="s">
        <v>25</v>
      </c>
      <c r="B21" s="1" t="s">
        <v>6</v>
      </c>
      <c r="C21" s="3">
        <v>5.87</v>
      </c>
    </row>
    <row r="22" spans="1:3" ht="16.5" x14ac:dyDescent="0.2">
      <c r="A22" s="1" t="s">
        <v>26</v>
      </c>
      <c r="B22" s="1" t="s">
        <v>37</v>
      </c>
      <c r="C22" s="3">
        <v>-3.11</v>
      </c>
    </row>
    <row r="23" spans="1:3" ht="16.5" x14ac:dyDescent="0.2">
      <c r="A23" s="1"/>
      <c r="B23" s="1"/>
      <c r="C23" s="1"/>
    </row>
    <row r="24" spans="1:3" ht="16.5" x14ac:dyDescent="0.2">
      <c r="A24" s="28" t="s">
        <v>27</v>
      </c>
      <c r="B24" s="28"/>
      <c r="C24" s="28"/>
    </row>
    <row r="25" spans="1:3" ht="16.5" x14ac:dyDescent="0.2">
      <c r="A25" s="1" t="s">
        <v>28</v>
      </c>
      <c r="B25" s="1" t="s">
        <v>9</v>
      </c>
      <c r="C25" s="3">
        <v>0.92</v>
      </c>
    </row>
    <row r="26" spans="1:3" ht="16.5" x14ac:dyDescent="0.2">
      <c r="A26" s="1" t="s">
        <v>29</v>
      </c>
      <c r="B26" s="1" t="s">
        <v>9</v>
      </c>
      <c r="C26" s="3">
        <v>0.9</v>
      </c>
    </row>
    <row r="27" spans="1:3" ht="16.5" x14ac:dyDescent="0.2">
      <c r="A27" s="1" t="s">
        <v>30</v>
      </c>
      <c r="B27" s="1" t="s">
        <v>9</v>
      </c>
      <c r="C27" s="3">
        <v>0.9</v>
      </c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64" workbookViewId="0">
      <selection activeCell="C80" sqref="C80:F82"/>
    </sheetView>
  </sheetViews>
  <sheetFormatPr defaultRowHeight="16.5" x14ac:dyDescent="0.2"/>
  <cols>
    <col min="1" max="1" width="36.875" style="1" bestFit="1" customWidth="1"/>
    <col min="2" max="2" width="18.375" style="1" bestFit="1" customWidth="1"/>
    <col min="3" max="3" width="13.125" style="1" bestFit="1" customWidth="1"/>
    <col min="4" max="6" width="12.75" style="1" bestFit="1" customWidth="1"/>
    <col min="7" max="7" width="9" style="1"/>
    <col min="8" max="9" width="13.125" style="1" bestFit="1" customWidth="1"/>
    <col min="10" max="10" width="12.125" style="1" bestFit="1" customWidth="1"/>
    <col min="11" max="11" width="12.75" style="1" bestFit="1" customWidth="1"/>
    <col min="12" max="12" width="12.625" style="1" bestFit="1" customWidth="1"/>
    <col min="13" max="13" width="13.125" style="1" bestFit="1" customWidth="1"/>
    <col min="14" max="16" width="12.75" style="1" bestFit="1" customWidth="1"/>
    <col min="17" max="16384" width="9" style="1"/>
  </cols>
  <sheetData>
    <row r="1" spans="1:12" x14ac:dyDescent="0.2">
      <c r="B1" s="1" t="s">
        <v>56</v>
      </c>
      <c r="C1" s="1" t="s">
        <v>50</v>
      </c>
      <c r="D1" s="1" t="s">
        <v>51</v>
      </c>
      <c r="E1" s="1" t="s">
        <v>52</v>
      </c>
      <c r="F1" s="1" t="s">
        <v>53</v>
      </c>
    </row>
    <row r="2" spans="1:12" x14ac:dyDescent="0.2">
      <c r="A2" s="9" t="s">
        <v>38</v>
      </c>
      <c r="B2" s="9"/>
      <c r="C2" s="9"/>
      <c r="D2" s="9"/>
      <c r="E2" s="9"/>
      <c r="F2" s="9"/>
      <c r="J2" s="9"/>
      <c r="K2" s="9"/>
      <c r="L2" s="9"/>
    </row>
    <row r="3" spans="1:12" x14ac:dyDescent="0.2">
      <c r="A3" s="1" t="s">
        <v>39</v>
      </c>
      <c r="B3" s="8">
        <v>35.453000000000003</v>
      </c>
      <c r="C3" s="5">
        <v>16.100000000000001</v>
      </c>
      <c r="D3" s="5">
        <v>16.399999999999999</v>
      </c>
      <c r="E3" s="5">
        <v>16.399999999999999</v>
      </c>
      <c r="F3" s="5">
        <v>16.3</v>
      </c>
      <c r="K3" s="8"/>
      <c r="L3" s="5"/>
    </row>
    <row r="4" spans="1:12" x14ac:dyDescent="0.2">
      <c r="A4" s="1" t="s">
        <v>40</v>
      </c>
      <c r="B4" s="8">
        <v>46.006</v>
      </c>
      <c r="C4" s="4">
        <v>0.01</v>
      </c>
      <c r="D4" s="4">
        <v>0.01</v>
      </c>
      <c r="E4" s="4">
        <v>0.01</v>
      </c>
      <c r="F4" s="4">
        <v>0.01</v>
      </c>
      <c r="K4" s="8"/>
      <c r="L4" s="4"/>
    </row>
    <row r="5" spans="1:12" x14ac:dyDescent="0.2">
      <c r="A5" s="1" t="s">
        <v>41</v>
      </c>
      <c r="B5" s="8">
        <v>62.005000000000003</v>
      </c>
      <c r="C5" s="4">
        <v>0.1</v>
      </c>
      <c r="D5" s="4">
        <v>0.1</v>
      </c>
      <c r="E5" s="4">
        <v>0.1</v>
      </c>
      <c r="F5" s="4">
        <v>0.1</v>
      </c>
      <c r="K5" s="8"/>
      <c r="L5" s="4"/>
    </row>
    <row r="6" spans="1:12" x14ac:dyDescent="0.2">
      <c r="A6" s="1" t="s">
        <v>42</v>
      </c>
      <c r="B6" s="8">
        <v>96.063000000000002</v>
      </c>
      <c r="C6" s="5">
        <v>16.5</v>
      </c>
      <c r="D6" s="5">
        <v>17.100000000000001</v>
      </c>
      <c r="E6" s="5">
        <v>16.899999999999999</v>
      </c>
      <c r="F6" s="5">
        <v>16.899999999999999</v>
      </c>
      <c r="K6" s="8"/>
      <c r="L6" s="5"/>
    </row>
    <row r="7" spans="1:12" x14ac:dyDescent="0.2">
      <c r="A7" s="1" t="s">
        <v>49</v>
      </c>
      <c r="B7" s="8">
        <v>61.017000000000003</v>
      </c>
      <c r="C7" s="5">
        <v>297.2</v>
      </c>
      <c r="D7" s="5">
        <v>299</v>
      </c>
      <c r="E7" s="5">
        <v>292.89999999999998</v>
      </c>
      <c r="F7" s="5">
        <v>294.7</v>
      </c>
      <c r="K7" s="8"/>
      <c r="L7" s="5"/>
    </row>
    <row r="8" spans="1:12" x14ac:dyDescent="0.2">
      <c r="B8" s="8"/>
      <c r="C8" s="5"/>
      <c r="D8" s="5"/>
      <c r="E8" s="5"/>
      <c r="F8" s="5"/>
      <c r="J8" s="10"/>
      <c r="K8" s="10"/>
      <c r="L8" s="10"/>
    </row>
    <row r="9" spans="1:12" x14ac:dyDescent="0.2">
      <c r="A9" s="1" t="s">
        <v>61</v>
      </c>
      <c r="B9" s="8"/>
      <c r="C9" s="1">
        <f>C3/$B3+C4/$B4+C5/$B5+C6/$B6*2+C7/$B7</f>
        <v>5.6702507761017333</v>
      </c>
      <c r="D9" s="1">
        <f t="shared" ref="D9:F9" si="0">D3/$B3+D4/$B4+D5/$B5+D6/$B6*2+D7/$B7</f>
        <v>5.7207044610870996</v>
      </c>
      <c r="E9" s="1">
        <f t="shared" si="0"/>
        <v>5.6165683880900694</v>
      </c>
      <c r="F9" s="1">
        <f t="shared" si="0"/>
        <v>5.6432477277354538</v>
      </c>
      <c r="K9" s="8"/>
      <c r="L9" s="3"/>
    </row>
    <row r="10" spans="1:12" x14ac:dyDescent="0.2">
      <c r="A10" s="10" t="s">
        <v>43</v>
      </c>
      <c r="B10" s="10"/>
      <c r="C10" s="10"/>
      <c r="D10" s="10"/>
      <c r="E10" s="10"/>
      <c r="F10" s="10"/>
      <c r="K10" s="8"/>
      <c r="L10" s="4"/>
    </row>
    <row r="11" spans="1:12" x14ac:dyDescent="0.2">
      <c r="A11" s="1" t="s">
        <v>44</v>
      </c>
      <c r="B11" s="8">
        <v>22.99</v>
      </c>
      <c r="C11" s="3">
        <v>9.0500000000000007</v>
      </c>
      <c r="D11" s="3">
        <v>8.93</v>
      </c>
      <c r="E11" s="3">
        <v>9.02</v>
      </c>
      <c r="F11" s="3">
        <v>9.09</v>
      </c>
      <c r="K11" s="8"/>
      <c r="L11" s="3"/>
    </row>
    <row r="12" spans="1:12" x14ac:dyDescent="0.2">
      <c r="A12" s="1" t="s">
        <v>45</v>
      </c>
      <c r="B12" s="8">
        <v>18.038</v>
      </c>
      <c r="C12" s="4">
        <v>0.1</v>
      </c>
      <c r="D12" s="4">
        <v>0.1</v>
      </c>
      <c r="E12" s="4">
        <v>0.1</v>
      </c>
      <c r="F12" s="4">
        <v>0.1</v>
      </c>
      <c r="K12" s="8"/>
      <c r="L12" s="5"/>
    </row>
    <row r="13" spans="1:12" x14ac:dyDescent="0.2">
      <c r="A13" s="1" t="s">
        <v>46</v>
      </c>
      <c r="B13" s="8">
        <v>39.097999999999999</v>
      </c>
      <c r="C13" s="3">
        <v>1.7</v>
      </c>
      <c r="D13" s="3">
        <v>1.6</v>
      </c>
      <c r="E13" s="3">
        <v>1.6</v>
      </c>
      <c r="F13" s="3">
        <v>1.63</v>
      </c>
      <c r="K13" s="8"/>
      <c r="L13" s="3"/>
    </row>
    <row r="14" spans="1:12" x14ac:dyDescent="0.2">
      <c r="A14" s="1" t="s">
        <v>47</v>
      </c>
      <c r="B14" s="8">
        <v>40.078000000000003</v>
      </c>
      <c r="C14" s="5">
        <v>96.7</v>
      </c>
      <c r="D14" s="5">
        <v>96.9</v>
      </c>
      <c r="E14" s="5">
        <v>96.2</v>
      </c>
      <c r="F14" s="5">
        <v>97.2</v>
      </c>
      <c r="K14" s="8"/>
    </row>
    <row r="15" spans="1:12" x14ac:dyDescent="0.2">
      <c r="A15" s="1" t="s">
        <v>48</v>
      </c>
      <c r="B15" s="8">
        <v>24.305</v>
      </c>
      <c r="C15" s="3">
        <v>6.6</v>
      </c>
      <c r="D15" s="3">
        <v>7.29</v>
      </c>
      <c r="E15" s="3">
        <v>6.9</v>
      </c>
      <c r="F15" s="3">
        <v>7.02</v>
      </c>
    </row>
    <row r="16" spans="1:12" x14ac:dyDescent="0.2">
      <c r="A16" s="1" t="s">
        <v>58</v>
      </c>
      <c r="B16" s="8">
        <v>55.844999999999999</v>
      </c>
      <c r="C16" s="1">
        <v>0.5</v>
      </c>
      <c r="D16" s="1">
        <v>0.9</v>
      </c>
      <c r="E16" s="1">
        <v>0.9</v>
      </c>
      <c r="F16" s="1">
        <v>0.9</v>
      </c>
    </row>
    <row r="17" spans="1:12" x14ac:dyDescent="0.2">
      <c r="B17" s="8"/>
      <c r="C17" s="3"/>
      <c r="D17" s="3"/>
      <c r="E17" s="3"/>
      <c r="F17" s="3"/>
    </row>
    <row r="18" spans="1:12" x14ac:dyDescent="0.2">
      <c r="A18" s="1" t="s">
        <v>57</v>
      </c>
      <c r="B18"/>
      <c r="C18" s="1">
        <f>C11/$B11+C12/$B12+C13/$B13+C14/$B14*2+C15/$B15*2+C16/$B16*2</f>
        <v>5.8292686829167213</v>
      </c>
      <c r="D18" s="1">
        <f t="shared" ref="D18:F18" si="1">D11/$B11+D12/$B12+D13/$B13+D14/$B14*2+D15/$B15*2+D16/$B16*2</f>
        <v>5.9025756900604422</v>
      </c>
      <c r="E18" s="1">
        <f t="shared" si="1"/>
        <v>5.8394663906669351</v>
      </c>
      <c r="F18" s="1">
        <f t="shared" si="1"/>
        <v>5.9030556966025101</v>
      </c>
    </row>
    <row r="19" spans="1:12" x14ac:dyDescent="0.2">
      <c r="A19" s="24" t="s">
        <v>55</v>
      </c>
      <c r="B19"/>
      <c r="C19" s="7">
        <f>(C9-C18)/(C9+C18)</f>
        <v>-1.3828221899331521E-2</v>
      </c>
      <c r="D19" s="7">
        <f t="shared" ref="D19:F19" si="2">(D9-D18)/(D9+D18)</f>
        <v>-1.5647151802960446E-2</v>
      </c>
      <c r="E19" s="7">
        <f t="shared" si="2"/>
        <v>-1.9456819648469188E-2</v>
      </c>
      <c r="F19" s="7">
        <f t="shared" si="2"/>
        <v>-2.2501398007557818E-2</v>
      </c>
    </row>
    <row r="21" spans="1:12" x14ac:dyDescent="0.2">
      <c r="A21" s="1" t="s">
        <v>59</v>
      </c>
      <c r="C21" s="21">
        <f>0.5*(C3/$B3*1+C4/$B4*1+C5/$B5*1+C6/$B6*4+C7/$B7*1+C11/$B11*1+C12/$B12*1+C13/$B13*1+C14/$B14*4+C15/$B15*4+C16/$B16*4)/1000</f>
        <v>8.6148194771748111E-3</v>
      </c>
      <c r="D21" s="21">
        <f>0.5*(D3/$B3*1+D4/$B4*1+D5/$B5*1+D6/$B6*4+D7/$B7*1+D11/$B11*1+D12/$B12*1+D13/$B13*1+D14/$B14*4+D15/$B15*4+D16/$B16*4)/1000</f>
        <v>8.7234878960918416E-3</v>
      </c>
      <c r="E21" s="21">
        <f>0.5*(E3/$B3*1+E4/$B4*1+E5/$B5*1+E6/$B6*4+E7/$B7*1+E11/$B11*1+E12/$B12*1+E13/$B13*1+E14/$B14*4+E15/$B15*4+E16/$B16*4)/1000</f>
        <v>8.6042712203865876E-3</v>
      </c>
      <c r="F21" s="21">
        <f>0.5*(F3/$B3*1+F4/$B4*1+F5/$B5*1+F6/$B6*4+F7/$B7*1+F11/$B11*1+F12/$B12*1+F13/$B13*1+F14/$B14*4+F15/$B15*4+F16/$B16*4)/1000</f>
        <v>8.6792941437632571E-3</v>
      </c>
    </row>
    <row r="23" spans="1:12" x14ac:dyDescent="0.2">
      <c r="A23" s="1" t="s">
        <v>71</v>
      </c>
      <c r="C23" s="21">
        <f>10^(-0.496*1*SQRT(C$21)/(2.5*0.3258*SQRT(C$21)+1))</f>
        <v>0.90614759382449406</v>
      </c>
      <c r="D23" s="21">
        <f>10^(-0.496*1*SQRT(D$21)/(2.5*0.3258*SQRT(D$21)+1))</f>
        <v>0.90562595967303194</v>
      </c>
      <c r="E23" s="21">
        <f>10^(-0.496*1*SQRT(E$21)/(2.5*0.3258*SQRT(E$21)+1))</f>
        <v>0.90619844339378497</v>
      </c>
      <c r="F23" s="21">
        <f>10^(-0.496*1*SQRT(F$21)/(2.5*0.3258*SQRT(F$21)+1))</f>
        <v>0.90583761415744923</v>
      </c>
      <c r="L23" s="11"/>
    </row>
    <row r="24" spans="1:12" x14ac:dyDescent="0.2">
      <c r="A24" s="1" t="s">
        <v>72</v>
      </c>
      <c r="C24" s="21">
        <f>10^(-0.496*1*SQRT(C$21)/(3*0.3258*SQRT(C$21)+1))</f>
        <v>0.9073863828882478</v>
      </c>
      <c r="D24" s="21">
        <f>10^(-0.496*1*SQRT(D$21)/(3*0.3258*SQRT(D$21)+1))</f>
        <v>0.90687845408483625</v>
      </c>
      <c r="E24" s="21">
        <f>10^(-0.496*1*SQRT(E$21)/(3*0.3258*SQRT(E$21)+1))</f>
        <v>0.9074359004118483</v>
      </c>
      <c r="F24" s="21">
        <f>10^(-0.496*1*SQRT(F$21)/(3*0.3258*SQRT(F$21)+1))</f>
        <v>0.90708453864145611</v>
      </c>
      <c r="L24" s="11"/>
    </row>
    <row r="25" spans="1:12" x14ac:dyDescent="0.2">
      <c r="A25" s="1" t="s">
        <v>73</v>
      </c>
      <c r="C25" s="21">
        <f>10^(-0.496*4*SQRT(C$21)/(4*0.3258*SQRT(C$21)+1))</f>
        <v>0.68505192526477077</v>
      </c>
      <c r="D25" s="21">
        <f>10^(-0.496*4*SQRT(D$21)/(4*0.3258*SQRT(D$21)+1))</f>
        <v>0.68360103507367775</v>
      </c>
      <c r="E25" s="21">
        <f>10^(-0.496*4*SQRT(E$21)/(4*0.3258*SQRT(E$21)+1))</f>
        <v>0.68519351652500626</v>
      </c>
      <c r="F25" s="21">
        <f>10^(-0.496*4*SQRT(F$21)/(4*0.3258*SQRT(F$21)+1))</f>
        <v>0.68418938492725878</v>
      </c>
      <c r="L25" s="11"/>
    </row>
    <row r="26" spans="1:12" x14ac:dyDescent="0.2">
      <c r="A26" s="1" t="s">
        <v>74</v>
      </c>
      <c r="C26" s="21">
        <f>10^(-0.496*1*SQRT(C$21)/(4.25*0.3258*SQRT(C$21)+1))</f>
        <v>0.91034496018351052</v>
      </c>
      <c r="D26" s="21">
        <f>10^(-0.496*1*SQRT(D$21)/(4.25*0.3258*SQRT(D$21)+1))</f>
        <v>0.90986902336101394</v>
      </c>
      <c r="E26" s="21">
        <f>10^(-0.496*1*SQRT(E$21)/(4.25*0.3258*SQRT(E$21)+1))</f>
        <v>0.91039136772271556</v>
      </c>
      <c r="F26" s="21">
        <f>10^(-0.496*1*SQRT(F$21)/(4.25*0.3258*SQRT(F$21)+1))</f>
        <v>0.91006210762687056</v>
      </c>
      <c r="L26" s="11"/>
    </row>
    <row r="27" spans="1:12" x14ac:dyDescent="0.2">
      <c r="A27" s="1" t="s">
        <v>77</v>
      </c>
      <c r="C27" s="21">
        <f>10^(-0.496*4*SQRT(C$21)/(6*0.3258*SQRT(C$21)+1))</f>
        <v>0.69844621948837948</v>
      </c>
      <c r="D27" s="21">
        <f>10^(-0.496*4*SQRT(D$21)/(6*0.3258*SQRT(D$21)+1))</f>
        <v>0.69711477504694841</v>
      </c>
      <c r="E27" s="21">
        <f>10^(-0.496*4*SQRT(E$21)/(6*0.3258*SQRT(E$21)+1))</f>
        <v>0.69857617993145371</v>
      </c>
      <c r="F27" s="21">
        <f>10^(-0.496*4*SQRT(F$21)/(6*0.3258*SQRT(F$21)+1))</f>
        <v>0.69765463045883713</v>
      </c>
      <c r="L27" s="11"/>
    </row>
    <row r="28" spans="1:12" x14ac:dyDescent="0.2">
      <c r="A28" s="1" t="s">
        <v>75</v>
      </c>
      <c r="C28" s="21">
        <f>10^(-0.496*4*SQRT(C$21)/(8*0.3258*SQRT(C$21)+1))</f>
        <v>0.71076068842849571</v>
      </c>
      <c r="D28" s="21">
        <f>10^(-0.496*4*SQRT(D$21)/(8*0.3258*SQRT(D$21)+1))</f>
        <v>0.7095347257928224</v>
      </c>
      <c r="E28" s="21">
        <f>10^(-0.496*4*SQRT(E$21)/(8*0.3258*SQRT(E$21)+1))</f>
        <v>0.71088037501047185</v>
      </c>
      <c r="F28" s="21">
        <f>10^(-0.496*4*SQRT(F$21)/(8*0.3258*SQRT(F$21)+1))</f>
        <v>0.71003176227671672</v>
      </c>
    </row>
    <row r="29" spans="1:12" x14ac:dyDescent="0.2">
      <c r="A29" s="1" t="s">
        <v>76</v>
      </c>
      <c r="C29" s="21">
        <f>10^(-0.496*4*SQRT(C$21)/(9*0.3258*SQRT(C$21)+1))</f>
        <v>0.71655243102165966</v>
      </c>
      <c r="D29" s="21">
        <f>10^(-0.496*4*SQRT(D$21)/(9*0.3258*SQRT(D$21)+1))</f>
        <v>0.71537463163900372</v>
      </c>
      <c r="E29" s="21">
        <f>10^(-0.496*4*SQRT(E$21)/(9*0.3258*SQRT(E$21)+1))</f>
        <v>0.71666742562892738</v>
      </c>
      <c r="F29" s="21">
        <f>10^(-0.496*4*SQRT(F$21)/(9*0.3258*SQRT(F$21)+1))</f>
        <v>0.71585211893203182</v>
      </c>
    </row>
    <row r="31" spans="1:12" x14ac:dyDescent="0.2">
      <c r="A31" s="24" t="s">
        <v>60</v>
      </c>
    </row>
    <row r="32" spans="1:12" x14ac:dyDescent="0.2">
      <c r="A32" s="15" t="s">
        <v>39</v>
      </c>
      <c r="B32" s="8"/>
      <c r="C32" s="11">
        <f>C3/$B3/1000*C24</f>
        <v>4.1206444488479932E-4</v>
      </c>
      <c r="D32" s="11">
        <f>D3/$B3/1000*D24</f>
        <v>4.1950770448174514E-4</v>
      </c>
      <c r="E32" s="11">
        <f>E3/$B3/1000*E24</f>
        <v>4.1976557038203561E-4</v>
      </c>
      <c r="F32" s="11">
        <f>F3/$B3/1000*F24</f>
        <v>4.1704448085791711E-4</v>
      </c>
    </row>
    <row r="33" spans="1:12" x14ac:dyDescent="0.2">
      <c r="A33" s="15" t="s">
        <v>40</v>
      </c>
      <c r="B33" s="8"/>
      <c r="C33" s="12">
        <f>C4/$B4/1000*C24</f>
        <v>1.9723218338656866E-7</v>
      </c>
      <c r="D33" s="12">
        <f>D4/$B4/1000*D24</f>
        <v>1.9712177848211892E-7</v>
      </c>
      <c r="E33" s="12">
        <f>E4/$B4/1000*E24</f>
        <v>1.972429466617068E-7</v>
      </c>
      <c r="F33" s="12">
        <f>F4/$B4/1000*F24</f>
        <v>1.9716657362984308E-7</v>
      </c>
    </row>
    <row r="34" spans="1:12" x14ac:dyDescent="0.2">
      <c r="A34" s="15" t="s">
        <v>41</v>
      </c>
      <c r="B34" s="8"/>
      <c r="C34" s="12">
        <f t="shared" ref="C34:F36" si="3">C5/$B5/1000*C24</f>
        <v>1.46340840720627E-6</v>
      </c>
      <c r="D34" s="12">
        <f t="shared" si="3"/>
        <v>1.4625892332631822E-6</v>
      </c>
      <c r="E34" s="12">
        <f t="shared" si="3"/>
        <v>1.4634882677394536E-6</v>
      </c>
      <c r="F34" s="12">
        <f t="shared" si="3"/>
        <v>1.4629216009055013E-6</v>
      </c>
      <c r="I34" s="13" t="s">
        <v>65</v>
      </c>
    </row>
    <row r="35" spans="1:12" x14ac:dyDescent="0.2">
      <c r="A35" s="16" t="s">
        <v>42</v>
      </c>
      <c r="B35" s="8"/>
      <c r="C35" s="11">
        <f t="shared" si="3"/>
        <v>1.1766608128903653E-4</v>
      </c>
      <c r="D35" s="11">
        <f t="shared" si="3"/>
        <v>1.2168657755597775E-4</v>
      </c>
      <c r="E35" s="11">
        <f t="shared" si="3"/>
        <v>1.2054350196509171E-4</v>
      </c>
      <c r="F35" s="11">
        <f t="shared" si="3"/>
        <v>1.2036684889364973E-4</v>
      </c>
      <c r="I35" s="1">
        <f>10^(-10.49)</f>
        <v>3.2359365692962733E-11</v>
      </c>
    </row>
    <row r="36" spans="1:12" x14ac:dyDescent="0.2">
      <c r="A36" s="17" t="s">
        <v>49</v>
      </c>
      <c r="B36" s="8"/>
      <c r="C36" s="23">
        <f t="shared" si="3"/>
        <v>4.4340843071035826E-3</v>
      </c>
      <c r="D36" s="23">
        <f t="shared" si="3"/>
        <v>4.458607240358313E-3</v>
      </c>
      <c r="E36" s="23">
        <f t="shared" si="3"/>
        <v>4.3701530984149228E-3</v>
      </c>
      <c r="F36" s="23">
        <f t="shared" si="3"/>
        <v>4.3954193604673897E-3</v>
      </c>
      <c r="H36" s="1" t="s">
        <v>66</v>
      </c>
      <c r="I36" s="11">
        <f>$I35*C36/10^(-7.2)</f>
        <v>2.2740706144755339E-6</v>
      </c>
      <c r="J36" s="11">
        <f t="shared" ref="J36:L36" si="4">$I35*D36/10^(-7.2)</f>
        <v>2.286647479964083E-6</v>
      </c>
      <c r="K36" s="11">
        <f t="shared" si="4"/>
        <v>2.2412827663072273E-6</v>
      </c>
      <c r="L36" s="11">
        <f t="shared" si="4"/>
        <v>2.2542408564317441E-6</v>
      </c>
    </row>
    <row r="37" spans="1:12" x14ac:dyDescent="0.2">
      <c r="A37" s="17" t="s">
        <v>44</v>
      </c>
      <c r="B37" s="8"/>
      <c r="C37" s="23">
        <f>C11/$B11/1000*C26</f>
        <v>3.5835675901090789E-4</v>
      </c>
      <c r="D37" s="23">
        <f>D11/$B11/1000*D26</f>
        <v>3.5342019915675751E-4</v>
      </c>
      <c r="E37" s="23">
        <f>E11/$B11/1000*E26</f>
        <v>3.571870437955152E-4</v>
      </c>
      <c r="F37" s="23">
        <f>F11/$B11/1000*F26</f>
        <v>3.5982881941401713E-4</v>
      </c>
    </row>
    <row r="38" spans="1:12" x14ac:dyDescent="0.2">
      <c r="A38" s="14" t="s">
        <v>45</v>
      </c>
      <c r="B38" s="8"/>
      <c r="C38" s="12">
        <f t="shared" ref="C38:F39" si="5">C12/$B12/1000*C23</f>
        <v>5.0235480309596072E-6</v>
      </c>
      <c r="D38" s="12">
        <f t="shared" si="5"/>
        <v>5.0206561684944668E-6</v>
      </c>
      <c r="E38" s="12">
        <f t="shared" si="5"/>
        <v>5.0238299334393222E-6</v>
      </c>
      <c r="F38" s="12">
        <f t="shared" si="5"/>
        <v>5.0218295496033325E-6</v>
      </c>
    </row>
    <row r="39" spans="1:12" x14ac:dyDescent="0.2">
      <c r="A39" s="15" t="s">
        <v>46</v>
      </c>
      <c r="B39" s="8"/>
      <c r="C39" s="11">
        <f t="shared" si="5"/>
        <v>3.9453599951660471E-5</v>
      </c>
      <c r="D39" s="11">
        <f t="shared" si="5"/>
        <v>3.711201408091816E-5</v>
      </c>
      <c r="E39" s="11">
        <f t="shared" si="5"/>
        <v>3.7134826350681811E-5</v>
      </c>
      <c r="F39" s="11">
        <f t="shared" si="5"/>
        <v>3.7816456033187719E-5</v>
      </c>
    </row>
    <row r="40" spans="1:12" x14ac:dyDescent="0.2">
      <c r="A40" s="18" t="s">
        <v>47</v>
      </c>
      <c r="B40" s="8"/>
      <c r="C40" s="11">
        <f t="shared" ref="C40:F41" si="6">C14/$B14/1000*C27</f>
        <v>1.6852075808305377E-3</v>
      </c>
      <c r="D40" s="11">
        <f t="shared" si="6"/>
        <v>1.6854738685076424E-3</v>
      </c>
      <c r="E40" s="11">
        <f t="shared" si="6"/>
        <v>1.6768059411499038E-3</v>
      </c>
      <c r="F40" s="11">
        <f t="shared" si="6"/>
        <v>1.6920013493836761E-3</v>
      </c>
    </row>
    <row r="41" spans="1:12" x14ac:dyDescent="0.2">
      <c r="A41" s="19" t="s">
        <v>48</v>
      </c>
      <c r="B41" s="8"/>
      <c r="C41" s="11">
        <f t="shared" si="6"/>
        <v>1.9300639965554709E-4</v>
      </c>
      <c r="D41" s="11">
        <f t="shared" si="6"/>
        <v>2.1281662830815366E-4</v>
      </c>
      <c r="E41" s="11">
        <f t="shared" si="6"/>
        <v>2.0181339590916503E-4</v>
      </c>
      <c r="F41" s="11">
        <f t="shared" si="6"/>
        <v>2.0507808974213338E-4</v>
      </c>
    </row>
    <row r="42" spans="1:12" x14ac:dyDescent="0.2">
      <c r="A42" s="18" t="s">
        <v>78</v>
      </c>
      <c r="B42" s="8"/>
      <c r="C42" s="11">
        <f>C16/$B16/1000*C27</f>
        <v>6.2534355760442249E-6</v>
      </c>
      <c r="D42" s="11">
        <f>D16/$B16/1000*D27</f>
        <v>1.1234726431054769E-5</v>
      </c>
      <c r="E42" s="11">
        <f>E16/$B16/1000*E27</f>
        <v>1.1258278483987974E-5</v>
      </c>
      <c r="F42" s="11">
        <f>F16/$B16/1000*F27</f>
        <v>1.1243426760013491E-5</v>
      </c>
    </row>
    <row r="43" spans="1:12" x14ac:dyDescent="0.2">
      <c r="A43" s="20" t="s">
        <v>79</v>
      </c>
      <c r="B43" s="8"/>
      <c r="C43" s="11">
        <f>0.01*C29</f>
        <v>7.1655243102165967E-3</v>
      </c>
      <c r="D43" s="11">
        <f>0.01*D29</f>
        <v>7.1537463163900373E-3</v>
      </c>
      <c r="E43" s="11">
        <f>0.01*E29</f>
        <v>7.1666742562892741E-3</v>
      </c>
      <c r="F43" s="11">
        <f>0.01*F29</f>
        <v>7.1585211893203183E-3</v>
      </c>
    </row>
    <row r="44" spans="1:12" x14ac:dyDescent="0.2">
      <c r="A44" s="20" t="s">
        <v>95</v>
      </c>
      <c r="B44" s="8"/>
      <c r="C44" s="1">
        <f>10^(-(14.534617-7.4))</f>
        <v>7.3347108888648837E-8</v>
      </c>
      <c r="D44" s="1">
        <f t="shared" ref="D44:F44" si="7">10^(-(14.534617-7.4))</f>
        <v>7.3347108888648837E-8</v>
      </c>
      <c r="E44" s="1">
        <f t="shared" si="7"/>
        <v>7.3347108888648837E-8</v>
      </c>
      <c r="F44" s="1">
        <f t="shared" si="7"/>
        <v>7.3347108888648837E-8</v>
      </c>
    </row>
    <row r="46" spans="1:12" x14ac:dyDescent="0.2">
      <c r="A46" s="24" t="s">
        <v>63</v>
      </c>
    </row>
    <row r="47" spans="1:12" x14ac:dyDescent="0.2">
      <c r="A47" s="1" t="s">
        <v>67</v>
      </c>
      <c r="C47" s="1">
        <f>LOG10(I36*C40/10^(-8.36))</f>
        <v>-5.654264960659304E-2</v>
      </c>
      <c r="D47" s="1">
        <f>LOG10(J36*D40/10^(-8.36))</f>
        <v>-5.4078759425051991E-2</v>
      </c>
      <c r="E47" s="1">
        <f>LOG10(K36*E40/10^(-8.36))</f>
        <v>-6.5020544169259883E-2</v>
      </c>
      <c r="F47" s="1">
        <f>LOG10(L36*F40/10^(-8.36))</f>
        <v>-5.8598978162320105E-2</v>
      </c>
    </row>
    <row r="48" spans="1:12" x14ac:dyDescent="0.2">
      <c r="A48" s="1" t="s">
        <v>69</v>
      </c>
      <c r="C48" s="1">
        <f>LOG10(I36*C41/(2.6*10^(-5)))</f>
        <v>-4.7725976922218445</v>
      </c>
      <c r="D48" s="1">
        <f>LOG10(J36*D41/(2.6*10^(-5)))</f>
        <v>-4.7277685727226997</v>
      </c>
      <c r="E48" s="1">
        <f>LOG10(K36*E41/(2.6*10^(-5)))</f>
        <v>-4.7595267058836743</v>
      </c>
      <c r="F48" s="1">
        <f>LOG10(L36*F41/(2.6*10^(-5)))</f>
        <v>-4.7500537677609405</v>
      </c>
    </row>
    <row r="49" spans="1:16" x14ac:dyDescent="0.2">
      <c r="A49" s="1" t="s">
        <v>64</v>
      </c>
      <c r="C49" s="1">
        <f>LOG10(C35*C40/(6.1*10^(-5)))</f>
        <v>-2.4880251407978156</v>
      </c>
      <c r="D49" s="1">
        <f>LOG10(D35*D40/(6.1*10^(-5)))</f>
        <v>-2.473365134667763</v>
      </c>
      <c r="E49" s="1">
        <f>LOG10(E35*E40/(6.1*10^(-5)))</f>
        <v>-2.4797032267351531</v>
      </c>
      <c r="F49" s="1">
        <f>LOG10(F35*F40/(6.1*10^(-5)))</f>
        <v>-2.4764222387554358</v>
      </c>
    </row>
    <row r="50" spans="1:16" x14ac:dyDescent="0.2">
      <c r="A50" s="1" t="s">
        <v>68</v>
      </c>
      <c r="C50" s="1">
        <f>LOG10(I36*C42/(2*10^(-11)))</f>
        <v>-0.14810736935449564</v>
      </c>
      <c r="D50" s="1">
        <f>LOG10(J36*D42/(2*10^(-11)))</f>
        <v>0.10873172296258783</v>
      </c>
      <c r="E50" s="1">
        <f>LOG10(K36*E42/(2*10^(-11)))</f>
        <v>0.10093864323133235</v>
      </c>
      <c r="F50" s="1">
        <f>LOG10(L36*F42/(2*10^(-11)))</f>
        <v>0.10286901634981042</v>
      </c>
    </row>
    <row r="51" spans="1:16" x14ac:dyDescent="0.2">
      <c r="A51" s="1" t="s">
        <v>70</v>
      </c>
      <c r="C51" s="1">
        <f>LOG10(C42*C44^2/(1.64*10^-14))</f>
        <v>-5.6879591680182138</v>
      </c>
      <c r="D51" s="1">
        <f>LOG10(D42*D44^2/(1.64*10^-14))</f>
        <v>-5.4335153463641888</v>
      </c>
      <c r="E51" s="1">
        <f>LOG10(E42*E44^2/(1.64*10^-14))</f>
        <v>-5.4326058609127656</v>
      </c>
      <c r="F51" s="1">
        <f>LOG10(F42*F44^2/(1.64*10^-14))</f>
        <v>-5.4331791528153603</v>
      </c>
    </row>
    <row r="53" spans="1:16" x14ac:dyDescent="0.2">
      <c r="A53" s="24" t="s">
        <v>92</v>
      </c>
    </row>
    <row r="54" spans="1:16" x14ac:dyDescent="0.2">
      <c r="A54" s="1" t="s">
        <v>80</v>
      </c>
      <c r="C54" s="1" t="s">
        <v>90</v>
      </c>
      <c r="D54" s="1" t="s">
        <v>94</v>
      </c>
      <c r="E54" s="1" t="s">
        <v>81</v>
      </c>
      <c r="F54" s="1" t="s">
        <v>82</v>
      </c>
      <c r="H54" s="1" t="s">
        <v>91</v>
      </c>
      <c r="I54" s="1" t="s">
        <v>94</v>
      </c>
      <c r="J54" s="1" t="s">
        <v>81</v>
      </c>
      <c r="K54" s="1" t="s">
        <v>82</v>
      </c>
      <c r="N54" s="1" t="s">
        <v>94</v>
      </c>
      <c r="O54" s="1" t="s">
        <v>81</v>
      </c>
      <c r="P54" s="1" t="s">
        <v>82</v>
      </c>
    </row>
    <row r="55" spans="1:16" x14ac:dyDescent="0.2">
      <c r="B55" s="1" t="s">
        <v>83</v>
      </c>
      <c r="D55" s="1">
        <f>2.3*8.314*(273.15+25)/96490*14.2</f>
        <v>0.83903235367395568</v>
      </c>
      <c r="E55" s="1">
        <f>96490/(2.3*8.314*(273.15+10))*D55</f>
        <v>14.952251456825005</v>
      </c>
      <c r="F55" s="21">
        <f>E55+LOG10(C43/C42)</f>
        <v>18.011380750552323</v>
      </c>
      <c r="I55" s="1">
        <f>2.3*8.314*(273.15+25)/96490*16</f>
        <v>0.94538856751995015</v>
      </c>
      <c r="J55" s="1">
        <f>96490/(2.3*8.314*(273.15+10))*I55</f>
        <v>16.847607275295783</v>
      </c>
      <c r="K55" s="22">
        <f>J55+LOG10(C43/C42)</f>
        <v>19.906736569023099</v>
      </c>
      <c r="N55" s="1">
        <f>2.3*8.314*(273.15+25)/96490*13</f>
        <v>0.76812821110995955</v>
      </c>
      <c r="O55" s="1">
        <f>96490/(2.3*8.314*(273.15+10))*N55</f>
        <v>13.688680911177823</v>
      </c>
      <c r="P55" s="21">
        <f>O55+LOG10(C43/C42)</f>
        <v>16.747810204905139</v>
      </c>
    </row>
    <row r="56" spans="1:16" x14ac:dyDescent="0.2">
      <c r="B56" s="1" t="s">
        <v>84</v>
      </c>
      <c r="D56" s="1">
        <f t="shared" ref="D56:D58" si="8">2.3*8.314*(273.15+25)/96490*14.2</f>
        <v>0.83903235367395568</v>
      </c>
      <c r="E56" s="1">
        <f t="shared" ref="E56:E58" si="9">96490/(2.3*8.314*(273.15+10))*D56</f>
        <v>14.952251456825005</v>
      </c>
      <c r="F56" s="21">
        <f>E56+LOG10(D43/D42)</f>
        <v>17.756222490430908</v>
      </c>
      <c r="I56" s="1">
        <f t="shared" ref="I56:I58" si="10">2.3*8.314*(273.15+25)/96490*16</f>
        <v>0.94538856751995015</v>
      </c>
      <c r="J56" s="1">
        <f t="shared" ref="J56:J58" si="11">96490/(2.3*8.314*(273.15+10))*I56</f>
        <v>16.847607275295783</v>
      </c>
      <c r="K56" s="22">
        <f>J56+LOG10(D43/D42)</f>
        <v>19.651578308901684</v>
      </c>
      <c r="N56" s="1">
        <f>2.3*8.314*(273.15+25)/96490*13</f>
        <v>0.76812821110995955</v>
      </c>
      <c r="O56" s="1">
        <f t="shared" ref="O56:O58" si="12">96490/(2.3*8.314*(273.15+10))*N56</f>
        <v>13.688680911177823</v>
      </c>
      <c r="P56" s="21">
        <f>O56+LOG10(D43/D42)</f>
        <v>16.492651944783724</v>
      </c>
    </row>
    <row r="57" spans="1:16" x14ac:dyDescent="0.2">
      <c r="B57" s="1" t="s">
        <v>85</v>
      </c>
      <c r="D57" s="1">
        <f t="shared" si="8"/>
        <v>0.83903235367395568</v>
      </c>
      <c r="E57" s="1">
        <f t="shared" si="9"/>
        <v>14.952251456825005</v>
      </c>
      <c r="F57" s="21">
        <f>E57+LOG10(E43/E42)</f>
        <v>17.756097134811057</v>
      </c>
      <c r="I57" s="1">
        <f t="shared" si="10"/>
        <v>0.94538856751995015</v>
      </c>
      <c r="J57" s="1">
        <f t="shared" si="11"/>
        <v>16.847607275295783</v>
      </c>
      <c r="K57" s="22">
        <f>J57+LOG10(E43/E42)</f>
        <v>19.651452953281833</v>
      </c>
      <c r="N57" s="1">
        <f>2.3*8.314*(273.15+25)/96490*13</f>
        <v>0.76812821110995955</v>
      </c>
      <c r="O57" s="1">
        <f t="shared" si="12"/>
        <v>13.688680911177823</v>
      </c>
      <c r="P57" s="21">
        <f>O57+LOG10(E43/E42)</f>
        <v>16.492526589163873</v>
      </c>
    </row>
    <row r="58" spans="1:16" x14ac:dyDescent="0.2">
      <c r="B58" s="1" t="s">
        <v>86</v>
      </c>
      <c r="D58" s="1">
        <f t="shared" si="8"/>
        <v>0.83903235367395568</v>
      </c>
      <c r="E58" s="1">
        <f t="shared" si="9"/>
        <v>14.952251456825005</v>
      </c>
      <c r="F58" s="21">
        <f>E58+LOG10(F43/F42)</f>
        <v>17.756176076407442</v>
      </c>
      <c r="I58" s="1">
        <f t="shared" si="10"/>
        <v>0.94538856751995015</v>
      </c>
      <c r="J58" s="1">
        <f t="shared" si="11"/>
        <v>16.847607275295783</v>
      </c>
      <c r="K58" s="22">
        <f>J58+LOG10(F43/F42)</f>
        <v>19.651531894878222</v>
      </c>
      <c r="N58" s="1">
        <f>2.3*8.314*(273.15+25)/96490*13</f>
        <v>0.76812821110995955</v>
      </c>
      <c r="O58" s="1">
        <f t="shared" si="12"/>
        <v>13.688680911177823</v>
      </c>
      <c r="P58" s="21">
        <f>O58+LOG10(F43/F42)</f>
        <v>16.492605530760262</v>
      </c>
    </row>
    <row r="60" spans="1:16" x14ac:dyDescent="0.2">
      <c r="A60" s="1" t="s">
        <v>87</v>
      </c>
      <c r="D60" s="1" t="s">
        <v>94</v>
      </c>
      <c r="E60" s="1" t="s">
        <v>81</v>
      </c>
      <c r="F60" s="1" t="s">
        <v>82</v>
      </c>
      <c r="I60" s="1" t="s">
        <v>94</v>
      </c>
      <c r="J60" s="1" t="s">
        <v>81</v>
      </c>
      <c r="K60" s="1" t="s">
        <v>82</v>
      </c>
      <c r="N60" s="1" t="s">
        <v>94</v>
      </c>
      <c r="O60" s="1" t="s">
        <v>81</v>
      </c>
      <c r="P60" s="1" t="s">
        <v>82</v>
      </c>
    </row>
    <row r="61" spans="1:16" x14ac:dyDescent="0.2">
      <c r="B61" s="1" t="s">
        <v>83</v>
      </c>
      <c r="D61" s="1">
        <f>2.3*8.314*(273.15+25)/96490*14.2</f>
        <v>0.83903235367395568</v>
      </c>
      <c r="E61" s="1">
        <f>96490/(2.3*8.314*(273.15+10))*D61</f>
        <v>14.952251456825005</v>
      </c>
      <c r="F61" s="21">
        <f>E61+LOG10((0.09/(55.845+15.9994*2+1.00794))/C42)</f>
        <v>17.161709349141365</v>
      </c>
      <c r="I61" s="1">
        <f>2.3*8.314*(273.15+25)/96490*16</f>
        <v>0.94538856751995015</v>
      </c>
      <c r="J61" s="1">
        <f>96490/(2.3*8.314*(273.15+10))*I61</f>
        <v>16.847607275295783</v>
      </c>
      <c r="K61" s="21">
        <f>J61+LOG10((0.09/(55.845+15.9994*3+1.00794*3))/C42)</f>
        <v>18.97688740550139</v>
      </c>
      <c r="N61" s="1">
        <f>2.3*8.314*(273.15+25)/96490*13</f>
        <v>0.76812821110995955</v>
      </c>
      <c r="O61" s="1">
        <f>96490/(2.3*8.314*(273.15+10))*N61</f>
        <v>13.688680911177823</v>
      </c>
      <c r="P61" s="21">
        <f>O61+LOG10((0.09/(55.845+15.9994*2+1.00794))/C42)</f>
        <v>15.898138803494184</v>
      </c>
    </row>
    <row r="62" spans="1:16" x14ac:dyDescent="0.2">
      <c r="B62" s="1" t="s">
        <v>84</v>
      </c>
      <c r="D62" s="1">
        <f t="shared" ref="D62:D64" si="13">2.3*8.314*(273.15+25)/96490*14.2</f>
        <v>0.83903235367395568</v>
      </c>
      <c r="E62" s="1">
        <f t="shared" ref="E62:E64" si="14">96490/(2.3*8.314*(273.15+10))*D62</f>
        <v>14.952251456825005</v>
      </c>
      <c r="F62" s="21">
        <f>E62+LOG10((0.09/(55.845+15.9994*2+1.00794))/D42)</f>
        <v>16.90726552748734</v>
      </c>
      <c r="I62" s="1">
        <f t="shared" ref="I62:I64" si="15">2.3*8.314*(273.15+25)/96490*16</f>
        <v>0.94538856751995015</v>
      </c>
      <c r="J62" s="1">
        <f t="shared" ref="J62:J64" si="16">96490/(2.3*8.314*(273.15+10))*I62</f>
        <v>16.847607275295783</v>
      </c>
      <c r="K62" s="21">
        <f>J62+LOG10((0.09/(55.845+15.9994*3+1.00794*3))/D42)</f>
        <v>18.722443583847365</v>
      </c>
      <c r="N62" s="1">
        <f>2.3*8.314*(273.15+25)/96490*13</f>
        <v>0.76812821110995955</v>
      </c>
      <c r="O62" s="1">
        <f t="shared" ref="O62:O64" si="17">96490/(2.3*8.314*(273.15+10))*N62</f>
        <v>13.688680911177823</v>
      </c>
      <c r="P62" s="21">
        <f>O62+LOG10((0.09/(55.845+15.9994*2+1.00794))/D42)</f>
        <v>15.643694981840159</v>
      </c>
    </row>
    <row r="63" spans="1:16" x14ac:dyDescent="0.2">
      <c r="B63" s="1" t="s">
        <v>85</v>
      </c>
      <c r="D63" s="1">
        <f t="shared" si="13"/>
        <v>0.83903235367395568</v>
      </c>
      <c r="E63" s="1">
        <f t="shared" si="14"/>
        <v>14.952251456825005</v>
      </c>
      <c r="F63" s="21">
        <f>E63+LOG10((0.09/(55.845+15.9994*2+1.00794))/E42)</f>
        <v>16.906356042035917</v>
      </c>
      <c r="I63" s="1">
        <f t="shared" si="15"/>
        <v>0.94538856751995015</v>
      </c>
      <c r="J63" s="1">
        <f t="shared" si="16"/>
        <v>16.847607275295783</v>
      </c>
      <c r="K63" s="21">
        <f>J63+LOG10((0.09/(55.845+15.9994*3+1.00794*3))/E42)</f>
        <v>18.721534098395939</v>
      </c>
      <c r="N63" s="1">
        <f>2.3*8.314*(273.15+25)/96490*13</f>
        <v>0.76812821110995955</v>
      </c>
      <c r="O63" s="1">
        <f t="shared" si="17"/>
        <v>13.688680911177823</v>
      </c>
      <c r="P63" s="21">
        <f>O63+LOG10((0.09/(55.845+15.9994*2+1.00794))/E42)</f>
        <v>15.642785496388735</v>
      </c>
    </row>
    <row r="64" spans="1:16" x14ac:dyDescent="0.2">
      <c r="B64" s="1" t="s">
        <v>86</v>
      </c>
      <c r="D64" s="1">
        <f t="shared" si="13"/>
        <v>0.83903235367395568</v>
      </c>
      <c r="E64" s="1">
        <f t="shared" si="14"/>
        <v>14.952251456825005</v>
      </c>
      <c r="F64" s="21">
        <f>E64+LOG10((0.09/(55.845+15.9994*2+1.00794))/F42)</f>
        <v>16.906929333938514</v>
      </c>
      <c r="I64" s="1">
        <f t="shared" si="15"/>
        <v>0.94538856751995015</v>
      </c>
      <c r="J64" s="1">
        <f t="shared" si="16"/>
        <v>16.847607275295783</v>
      </c>
      <c r="K64" s="21">
        <f>J64+LOG10((0.09/(55.845+15.9994*3+1.00794*3))/F42)</f>
        <v>18.722107390298536</v>
      </c>
      <c r="N64" s="1">
        <f>2.3*8.314*(273.15+25)/96490*13</f>
        <v>0.76812821110995955</v>
      </c>
      <c r="O64" s="1">
        <f t="shared" si="17"/>
        <v>13.688680911177823</v>
      </c>
      <c r="P64" s="21">
        <f>O64+LOG10((0.09/(55.845+15.9994*2+1.00794))/F42)</f>
        <v>15.64335878829133</v>
      </c>
    </row>
    <row r="66" spans="1:16" x14ac:dyDescent="0.2">
      <c r="A66" s="1" t="s">
        <v>88</v>
      </c>
      <c r="C66" s="1" t="s">
        <v>89</v>
      </c>
      <c r="D66" s="1" t="s">
        <v>94</v>
      </c>
      <c r="E66" s="1" t="s">
        <v>81</v>
      </c>
      <c r="F66" s="1" t="s">
        <v>82</v>
      </c>
      <c r="H66" s="1" t="s">
        <v>89</v>
      </c>
      <c r="I66" s="1" t="s">
        <v>94</v>
      </c>
      <c r="J66" s="1" t="s">
        <v>81</v>
      </c>
      <c r="K66" s="1" t="s">
        <v>82</v>
      </c>
      <c r="M66" s="1" t="s">
        <v>89</v>
      </c>
      <c r="N66" s="1" t="s">
        <v>94</v>
      </c>
      <c r="O66" s="1" t="s">
        <v>81</v>
      </c>
      <c r="P66" s="1" t="s">
        <v>82</v>
      </c>
    </row>
    <row r="67" spans="1:16" x14ac:dyDescent="0.2">
      <c r="B67" s="1" t="s">
        <v>83</v>
      </c>
      <c r="C67" s="1">
        <f>1.1*10^(-36)/(10^(-(14.534617-7.2)))^3</f>
        <v>1.1097973543373845E-14</v>
      </c>
      <c r="D67" s="1">
        <f>2.3*8.314*(273.15+25)/96490*14.2</f>
        <v>0.83903235367395568</v>
      </c>
      <c r="E67" s="1">
        <f>96490/(2.3*8.314*(273.15+10))*D67</f>
        <v>14.952251456825005</v>
      </c>
      <c r="F67" s="21">
        <f>E67+LOG10(C67/C42)</f>
        <v>6.2013764619537497</v>
      </c>
      <c r="H67" s="1">
        <f>1.1*10^(-36)/(10^(-(14.534617-7.2)))^3</f>
        <v>1.1097973543373845E-14</v>
      </c>
      <c r="I67" s="1">
        <f>2.3*8.314*(273.15+25)/96490*16</f>
        <v>0.94538856751995015</v>
      </c>
      <c r="J67" s="1">
        <f>96490/(2.3*8.314*(273.15+10))*I67</f>
        <v>16.847607275295783</v>
      </c>
      <c r="K67" s="21">
        <f>J67+LOG10(H67/C42)</f>
        <v>8.0967322804245274</v>
      </c>
      <c r="M67" s="1">
        <f>1.1*10^(-36)/(10^(-(14.534617-7.2)))^3</f>
        <v>1.1097973543373845E-14</v>
      </c>
      <c r="N67" s="1">
        <f>2.3*8.314*(273.15+25)/96490*13</f>
        <v>0.76812821110995955</v>
      </c>
      <c r="O67" s="1">
        <v>13</v>
      </c>
      <c r="P67" s="21">
        <f>O67+LOG10(M67/C42)</f>
        <v>4.2491250051287448</v>
      </c>
    </row>
    <row r="68" spans="1:16" x14ac:dyDescent="0.2">
      <c r="B68" s="1" t="s">
        <v>84</v>
      </c>
      <c r="C68" s="1">
        <f t="shared" ref="C68:C70" si="18">1.1*10^(-36)/(10^(-(14.534617-7.2)))^3</f>
        <v>1.1097973543373845E-14</v>
      </c>
      <c r="D68" s="1">
        <f t="shared" ref="D68:D70" si="19">2.3*8.314*(273.15+25)/96490*14.2</f>
        <v>0.83903235367395568</v>
      </c>
      <c r="E68" s="1">
        <f t="shared" ref="E68:E70" si="20">96490/(2.3*8.314*(273.15+10))*D68</f>
        <v>14.952251456825005</v>
      </c>
      <c r="F68" s="21">
        <f>E68+LOG10(C68/D42)</f>
        <v>5.9469326402997247</v>
      </c>
      <c r="H68" s="1">
        <f t="shared" ref="H68:H70" si="21">1.1*10^(-36)/(10^(-(14.534617-7.2)))^3</f>
        <v>1.1097973543373845E-14</v>
      </c>
      <c r="I68" s="1">
        <f t="shared" ref="I68:I70" si="22">2.3*8.314*(273.15+25)/96490*16</f>
        <v>0.94538856751995015</v>
      </c>
      <c r="J68" s="1">
        <f t="shared" ref="J68:J70" si="23">96490/(2.3*8.314*(273.15+10))*I68</f>
        <v>16.847607275295783</v>
      </c>
      <c r="K68" s="21">
        <f>J68+LOG10(H68/D42)</f>
        <v>7.8422884587705024</v>
      </c>
      <c r="M68" s="1">
        <f t="shared" ref="M68:M70" si="24">1.1*10^(-36)/(10^(-(14.534617-7.2)))^3</f>
        <v>1.1097973543373845E-14</v>
      </c>
      <c r="N68" s="1">
        <f>2.3*8.314*(273.15+25)/96490*13</f>
        <v>0.76812821110995955</v>
      </c>
      <c r="O68" s="1">
        <v>13</v>
      </c>
      <c r="P68" s="21">
        <f>O68+LOG10(M68/D42)</f>
        <v>3.9946811834747198</v>
      </c>
    </row>
    <row r="69" spans="1:16" x14ac:dyDescent="0.2">
      <c r="B69" s="1" t="s">
        <v>85</v>
      </c>
      <c r="C69" s="1">
        <f t="shared" si="18"/>
        <v>1.1097973543373845E-14</v>
      </c>
      <c r="D69" s="1">
        <f t="shared" si="19"/>
        <v>0.83903235367395568</v>
      </c>
      <c r="E69" s="1">
        <f t="shared" si="20"/>
        <v>14.952251456825005</v>
      </c>
      <c r="F69" s="21">
        <f>E69+LOG10(C69/E42)</f>
        <v>5.9460231548482998</v>
      </c>
      <c r="H69" s="1">
        <f t="shared" si="21"/>
        <v>1.1097973543373845E-14</v>
      </c>
      <c r="I69" s="1">
        <f t="shared" si="22"/>
        <v>0.94538856751995015</v>
      </c>
      <c r="J69" s="1">
        <f t="shared" si="23"/>
        <v>16.847607275295783</v>
      </c>
      <c r="K69" s="21">
        <f>J69+LOG10(H69/E42)</f>
        <v>7.8413789733190775</v>
      </c>
      <c r="M69" s="1">
        <f t="shared" si="24"/>
        <v>1.1097973543373845E-14</v>
      </c>
      <c r="N69" s="1">
        <f>2.3*8.314*(273.15+25)/96490*13</f>
        <v>0.76812821110995955</v>
      </c>
      <c r="O69" s="1">
        <v>13</v>
      </c>
      <c r="P69" s="21">
        <f>O69+LOG10(M69/E42)</f>
        <v>3.9937716980232949</v>
      </c>
    </row>
    <row r="70" spans="1:16" x14ac:dyDescent="0.2">
      <c r="B70" s="1" t="s">
        <v>86</v>
      </c>
      <c r="C70" s="1">
        <f t="shared" si="18"/>
        <v>1.1097973543373845E-14</v>
      </c>
      <c r="D70" s="1">
        <f t="shared" si="19"/>
        <v>0.83903235367395568</v>
      </c>
      <c r="E70" s="1">
        <f t="shared" si="20"/>
        <v>14.952251456825005</v>
      </c>
      <c r="F70" s="21">
        <f>E70+LOG10(C70/F42)</f>
        <v>5.9465964467508954</v>
      </c>
      <c r="H70" s="1">
        <f t="shared" si="21"/>
        <v>1.1097973543373845E-14</v>
      </c>
      <c r="I70" s="1">
        <f t="shared" si="22"/>
        <v>0.94538856751995015</v>
      </c>
      <c r="J70" s="1">
        <f t="shared" si="23"/>
        <v>16.847607275295783</v>
      </c>
      <c r="K70" s="21">
        <f>J70+LOG10(H70/F42)</f>
        <v>7.8419522652216731</v>
      </c>
      <c r="M70" s="1">
        <f t="shared" si="24"/>
        <v>1.1097973543373845E-14</v>
      </c>
      <c r="N70" s="1">
        <f>2.3*8.314*(273.15+25)/96490*13</f>
        <v>0.76812821110995955</v>
      </c>
      <c r="O70" s="1">
        <v>13</v>
      </c>
      <c r="P70" s="21">
        <f>O70+LOG10(M70/F42)</f>
        <v>3.9943449899258905</v>
      </c>
    </row>
    <row r="72" spans="1:16" x14ac:dyDescent="0.2">
      <c r="A72" s="1" t="s">
        <v>93</v>
      </c>
      <c r="D72" s="1" t="s">
        <v>94</v>
      </c>
      <c r="E72" s="1" t="s">
        <v>81</v>
      </c>
      <c r="F72" s="1" t="s">
        <v>82</v>
      </c>
    </row>
    <row r="73" spans="1:16" x14ac:dyDescent="0.2">
      <c r="D73" s="1">
        <f>2.3*8.314*(273.15+25)/(8*96490)*14.9</f>
        <v>0.1100491379378692</v>
      </c>
      <c r="E73" s="1">
        <f>8*96490/(2.3*8.314*(273.15+10))*D73</f>
        <v>15.689334275119197</v>
      </c>
      <c r="F73" s="21">
        <f>E73+1/8*LOG10(C34/C38)</f>
        <v>15.622378648460261</v>
      </c>
    </row>
    <row r="74" spans="1:16" x14ac:dyDescent="0.2">
      <c r="D74" s="1">
        <f t="shared" ref="D74:D76" si="25">2.3*8.314*(273.15+25)/(8*96490)*14.9</f>
        <v>0.1100491379378692</v>
      </c>
      <c r="E74" s="1">
        <f>8*96490/(2.3*8.314*(273.15+10))*D74</f>
        <v>15.689334275119197</v>
      </c>
      <c r="F74" s="21">
        <f>E74+1/8*LOG10(D34/D38)</f>
        <v>15.622379511573747</v>
      </c>
    </row>
    <row r="75" spans="1:16" x14ac:dyDescent="0.2">
      <c r="D75" s="1">
        <f t="shared" si="25"/>
        <v>0.1100491379378692</v>
      </c>
      <c r="E75" s="1">
        <f t="shared" ref="E75:E76" si="26">8*96490/(2.3*8.314*(273.15+10))*D75</f>
        <v>15.689334275119197</v>
      </c>
      <c r="F75" s="21">
        <f>E75+1/8*LOG10(E34/E38)</f>
        <v>15.622378564612728</v>
      </c>
    </row>
    <row r="76" spans="1:16" x14ac:dyDescent="0.2">
      <c r="D76" s="1">
        <f t="shared" si="25"/>
        <v>0.1100491379378692</v>
      </c>
      <c r="E76" s="1">
        <f t="shared" si="26"/>
        <v>15.689334275119197</v>
      </c>
      <c r="F76" s="21">
        <f>E76+1/8*LOG10(F34/F38)</f>
        <v>15.622379160709544</v>
      </c>
    </row>
    <row r="78" spans="1:16" x14ac:dyDescent="0.2">
      <c r="A78" s="24" t="s">
        <v>96</v>
      </c>
    </row>
    <row r="79" spans="1:16" x14ac:dyDescent="0.2">
      <c r="A79" s="25" t="s">
        <v>104</v>
      </c>
      <c r="B79" s="26">
        <v>7.2</v>
      </c>
      <c r="C79" s="9" t="s">
        <v>105</v>
      </c>
      <c r="D79" s="9" t="s">
        <v>106</v>
      </c>
      <c r="E79" s="9" t="s">
        <v>107</v>
      </c>
      <c r="F79" s="9" t="s">
        <v>108</v>
      </c>
      <c r="G79" s="9" t="s">
        <v>97</v>
      </c>
    </row>
    <row r="80" spans="1:16" x14ac:dyDescent="0.2">
      <c r="A80" s="1" t="s">
        <v>98</v>
      </c>
      <c r="B80" s="9" t="s">
        <v>99</v>
      </c>
      <c r="C80" s="27">
        <f>C81/$G80</f>
        <v>1.5024635552905917E-2</v>
      </c>
      <c r="D80" s="27">
        <f t="shared" ref="D80:F80" si="27">D81/$G80</f>
        <v>1.5107730079153487E-2</v>
      </c>
      <c r="E80" s="27">
        <f t="shared" si="27"/>
        <v>1.4808008388315235E-2</v>
      </c>
      <c r="F80" s="27">
        <f t="shared" si="27"/>
        <v>1.4893621640754837E-2</v>
      </c>
      <c r="G80" s="27">
        <f>10^-1.27</f>
        <v>5.3703179637025256E-2</v>
      </c>
    </row>
    <row r="81" spans="1:7" x14ac:dyDescent="0.2">
      <c r="A81" s="1" t="s">
        <v>100</v>
      </c>
      <c r="B81" s="9" t="s">
        <v>101</v>
      </c>
      <c r="C81" s="27">
        <f>C36*10^-$B$79/$G81</f>
        <v>8.0687070207854277E-4</v>
      </c>
      <c r="D81" s="27">
        <f>D36*10^-$B$79/$G81</f>
        <v>8.1133314234846951E-4</v>
      </c>
      <c r="E81" s="27">
        <f>E36*10^-$B$79/$G81</f>
        <v>7.9523713454426989E-4</v>
      </c>
      <c r="F81" s="27">
        <f>F36*10^-$B$79/$G81</f>
        <v>7.9983483841934385E-4</v>
      </c>
      <c r="G81" s="27">
        <f>10^-6.46</f>
        <v>3.4673685045253148E-7</v>
      </c>
    </row>
    <row r="82" spans="1:7" x14ac:dyDescent="0.2">
      <c r="A82" s="1" t="s">
        <v>102</v>
      </c>
      <c r="B82" s="9" t="s">
        <v>103</v>
      </c>
      <c r="C82" s="27">
        <f>$G82*C36/10^-$B$79</f>
        <v>1.93554800153838E-6</v>
      </c>
      <c r="D82" s="27">
        <f>$G82*D36/10^-$B$79</f>
        <v>1.9462526501570389E-6</v>
      </c>
      <c r="E82" s="27">
        <f>$G82*E36/10^-$B$79</f>
        <v>1.90764101677153E-6</v>
      </c>
      <c r="F82" s="27">
        <f>$G82*F36/10^-$B$79</f>
        <v>1.9186701401789607E-6</v>
      </c>
      <c r="G82" s="27">
        <f>10^-10.56</f>
        <v>2.7542287033381602E-11</v>
      </c>
    </row>
    <row r="84" spans="1:7" x14ac:dyDescent="0.2">
      <c r="A84" s="24" t="s">
        <v>109</v>
      </c>
    </row>
    <row r="85" spans="1:7" x14ac:dyDescent="0.2">
      <c r="A85" s="1" t="s">
        <v>110</v>
      </c>
      <c r="B85" s="1">
        <f>LOG10(EXP(-40518.544/8.314*(1/(273.15+10.2)-1/298.15))*10^(13.02))</f>
        <v>12.649206760867612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F1 T1</vt:lpstr>
      <vt:lpstr>F1 T2</vt:lpstr>
      <vt:lpstr>F1 T3</vt:lpstr>
      <vt:lpstr>F1 T4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徐逸晨</dc:creator>
  <cp:lastModifiedBy>徐逸晨</cp:lastModifiedBy>
  <dcterms:created xsi:type="dcterms:W3CDTF">2016-07-20T12:52:52Z</dcterms:created>
  <dcterms:modified xsi:type="dcterms:W3CDTF">2016-08-17T14:36:35Z</dcterms:modified>
</cp:coreProperties>
</file>