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0" yWindow="90" windowWidth="19200" windowHeight="11640" activeTab="7"/>
  </bookViews>
  <sheets>
    <sheet name="F2T1" sheetId="1" r:id="rId1"/>
    <sheet name="F2T2" sheetId="2" r:id="rId2"/>
    <sheet name="F2T3" sheetId="3" r:id="rId3"/>
    <sheet name="F2T4" sheetId="4" r:id="rId4"/>
    <sheet name="ion balance" sheetId="5" r:id="rId5"/>
    <sheet name="saturation index" sheetId="6" r:id="rId6"/>
    <sheet name="redox potential" sheetId="7" r:id="rId7"/>
    <sheet name="carbon balence" sheetId="8" r:id="rId8"/>
  </sheets>
  <calcPr calcId="162913"/>
</workbook>
</file>

<file path=xl/calcChain.xml><?xml version="1.0" encoding="utf-8"?>
<calcChain xmlns="http://schemas.openxmlformats.org/spreadsheetml/2006/main">
  <c r="D21" i="8" l="1"/>
  <c r="E21" i="8"/>
  <c r="F21" i="8"/>
  <c r="C21" i="8"/>
  <c r="D20" i="8"/>
  <c r="D19" i="8" s="1"/>
  <c r="E20" i="8"/>
  <c r="E19" i="8" s="1"/>
  <c r="F20" i="8"/>
  <c r="F19" i="8" s="1"/>
  <c r="C20" i="8"/>
  <c r="C19" i="8" s="1"/>
  <c r="G21" i="8" l="1"/>
  <c r="G20" i="8"/>
  <c r="G19" i="8"/>
  <c r="F16" i="8"/>
  <c r="J7" i="8" s="1"/>
  <c r="E16" i="8"/>
  <c r="D16" i="8"/>
  <c r="H15" i="8" s="1"/>
  <c r="C16" i="8"/>
  <c r="J15" i="8"/>
  <c r="I15" i="8"/>
  <c r="G15" i="8"/>
  <c r="J14" i="8"/>
  <c r="I14" i="8"/>
  <c r="H14" i="8"/>
  <c r="G14" i="8"/>
  <c r="J13" i="8"/>
  <c r="I13" i="8"/>
  <c r="G13" i="8"/>
  <c r="J12" i="8"/>
  <c r="I12" i="8"/>
  <c r="H12" i="8"/>
  <c r="G12" i="8"/>
  <c r="J11" i="8"/>
  <c r="I11" i="8"/>
  <c r="G11" i="8"/>
  <c r="J10" i="8"/>
  <c r="I10" i="8"/>
  <c r="H10" i="8"/>
  <c r="G10" i="8"/>
  <c r="I7" i="8"/>
  <c r="H7" i="8"/>
  <c r="G7" i="8"/>
  <c r="I6" i="8"/>
  <c r="H6" i="8"/>
  <c r="G6" i="8"/>
  <c r="I5" i="8"/>
  <c r="H5" i="8"/>
  <c r="G5" i="8"/>
  <c r="I4" i="8"/>
  <c r="H4" i="8"/>
  <c r="G4" i="8"/>
  <c r="I3" i="8"/>
  <c r="H3" i="8"/>
  <c r="G3" i="8"/>
  <c r="B24" i="6"/>
  <c r="K19" i="7"/>
  <c r="K21" i="7" s="1"/>
  <c r="F16" i="7"/>
  <c r="J13" i="7" s="1"/>
  <c r="E16" i="7"/>
  <c r="D16" i="7"/>
  <c r="H14" i="7" s="1"/>
  <c r="C16" i="7"/>
  <c r="G15" i="7" s="1"/>
  <c r="I15" i="7"/>
  <c r="I14" i="7"/>
  <c r="I13" i="7"/>
  <c r="J12" i="7"/>
  <c r="I12" i="7"/>
  <c r="I11" i="7"/>
  <c r="I10" i="7"/>
  <c r="H10" i="7"/>
  <c r="G10" i="7"/>
  <c r="I7" i="7"/>
  <c r="H7" i="7"/>
  <c r="I6" i="7"/>
  <c r="G6" i="7"/>
  <c r="I5" i="7"/>
  <c r="H5" i="7"/>
  <c r="G5" i="7"/>
  <c r="I4" i="7"/>
  <c r="H4" i="7"/>
  <c r="G4" i="7"/>
  <c r="I3" i="7"/>
  <c r="H3" i="7"/>
  <c r="G3" i="7"/>
  <c r="F17" i="6"/>
  <c r="J4" i="6" s="1"/>
  <c r="E17" i="6"/>
  <c r="D17" i="6"/>
  <c r="H16" i="6" s="1"/>
  <c r="C17" i="6"/>
  <c r="G16" i="6" s="1"/>
  <c r="I16" i="6"/>
  <c r="E24" i="6" s="1"/>
  <c r="I15" i="6"/>
  <c r="H15" i="6"/>
  <c r="G15" i="6"/>
  <c r="I14" i="6"/>
  <c r="E22" i="6" s="1"/>
  <c r="I13" i="6"/>
  <c r="H13" i="6"/>
  <c r="G13" i="6"/>
  <c r="I12" i="6"/>
  <c r="I11" i="6"/>
  <c r="H11" i="6"/>
  <c r="G11" i="6"/>
  <c r="I7" i="6"/>
  <c r="I6" i="6"/>
  <c r="H6" i="6"/>
  <c r="G6" i="6"/>
  <c r="I5" i="6"/>
  <c r="H5" i="6"/>
  <c r="I4" i="6"/>
  <c r="H4" i="6"/>
  <c r="G4" i="6"/>
  <c r="I3" i="6"/>
  <c r="H3" i="6"/>
  <c r="D8" i="6"/>
  <c r="G8" i="6" s="1"/>
  <c r="C21" i="6" s="1"/>
  <c r="B22" i="6"/>
  <c r="B23" i="6"/>
  <c r="B21" i="6"/>
  <c r="B20" i="6"/>
  <c r="C25" i="7" l="1"/>
  <c r="E25" i="7"/>
  <c r="D25" i="7"/>
  <c r="F25" i="7"/>
  <c r="D24" i="6"/>
  <c r="C24" i="6"/>
  <c r="C23" i="6"/>
  <c r="J11" i="6"/>
  <c r="H7" i="6"/>
  <c r="H12" i="6"/>
  <c r="H14" i="6"/>
  <c r="I8" i="6"/>
  <c r="E21" i="6" s="1"/>
  <c r="E23" i="6"/>
  <c r="J6" i="6"/>
  <c r="H8" i="6"/>
  <c r="D23" i="6" s="1"/>
  <c r="J15" i="6"/>
  <c r="J3" i="6"/>
  <c r="J5" i="6"/>
  <c r="J7" i="6"/>
  <c r="J12" i="6"/>
  <c r="J14" i="6"/>
  <c r="J16" i="6"/>
  <c r="J13" i="6"/>
  <c r="E20" i="6"/>
  <c r="J14" i="7"/>
  <c r="J3" i="7"/>
  <c r="H6" i="7"/>
  <c r="H11" i="7"/>
  <c r="H15" i="7"/>
  <c r="H11" i="8"/>
  <c r="H13" i="8"/>
  <c r="G3" i="6"/>
  <c r="G5" i="6"/>
  <c r="G7" i="6"/>
  <c r="G12" i="6"/>
  <c r="G14" i="6"/>
  <c r="J8" i="6"/>
  <c r="G7" i="7"/>
  <c r="J11" i="7"/>
  <c r="J15" i="7"/>
  <c r="F24" i="7" s="1"/>
  <c r="J3" i="8"/>
  <c r="J4" i="8"/>
  <c r="J5" i="8"/>
  <c r="J6" i="8"/>
  <c r="F23" i="7"/>
  <c r="E24" i="7"/>
  <c r="D23" i="7"/>
  <c r="D24" i="7"/>
  <c r="E23" i="7"/>
  <c r="C24" i="7"/>
  <c r="C23" i="7"/>
  <c r="J4" i="7"/>
  <c r="J5" i="7"/>
  <c r="J6" i="7"/>
  <c r="J7" i="7"/>
  <c r="J10" i="7"/>
  <c r="H12" i="7"/>
  <c r="G12" i="7"/>
  <c r="H13" i="7"/>
  <c r="G11" i="7"/>
  <c r="G13" i="7"/>
  <c r="G14" i="7"/>
  <c r="F21" i="6" l="1"/>
  <c r="C22" i="6"/>
  <c r="C20" i="6"/>
  <c r="D21" i="6"/>
  <c r="F23" i="6"/>
  <c r="F24" i="6"/>
  <c r="F22" i="6"/>
  <c r="F20" i="6"/>
  <c r="D20" i="6"/>
  <c r="D22" i="6"/>
  <c r="F21" i="5"/>
  <c r="D21" i="5"/>
  <c r="H16" i="5" s="1"/>
  <c r="E21" i="5"/>
  <c r="C21" i="5"/>
  <c r="G16" i="5" s="1"/>
  <c r="D18" i="5"/>
  <c r="E18" i="5"/>
  <c r="F18" i="5"/>
  <c r="C18" i="5"/>
  <c r="H5" i="5" l="1"/>
  <c r="J16" i="5"/>
  <c r="I5" i="5"/>
  <c r="I16" i="5"/>
  <c r="H12" i="5"/>
  <c r="H11" i="5"/>
  <c r="H15" i="5"/>
  <c r="H14" i="5"/>
  <c r="H13" i="5"/>
  <c r="H7" i="5"/>
  <c r="H3" i="5"/>
  <c r="H6" i="5"/>
  <c r="H4" i="5"/>
  <c r="J6" i="5"/>
  <c r="J3" i="5"/>
  <c r="J12" i="5"/>
  <c r="J11" i="5"/>
  <c r="J15" i="5"/>
  <c r="J14" i="5"/>
  <c r="J13" i="5"/>
  <c r="J7" i="5"/>
  <c r="I12" i="5"/>
  <c r="I6" i="5"/>
  <c r="I11" i="5"/>
  <c r="I15" i="5"/>
  <c r="I14" i="5"/>
  <c r="I13" i="5"/>
  <c r="I7" i="5"/>
  <c r="I3" i="5"/>
  <c r="G5" i="5"/>
  <c r="G3" i="5"/>
  <c r="G12" i="5"/>
  <c r="G4" i="5"/>
  <c r="G6" i="5"/>
  <c r="G11" i="5"/>
  <c r="G15" i="5"/>
  <c r="G14" i="5"/>
  <c r="G13" i="5"/>
  <c r="G7" i="5"/>
  <c r="J5" i="5"/>
  <c r="I4" i="5"/>
  <c r="J4" i="5"/>
  <c r="D9" i="5"/>
  <c r="D19" i="5" s="1"/>
  <c r="E9" i="5"/>
  <c r="E19" i="5" s="1"/>
  <c r="F9" i="5"/>
  <c r="F19" i="5" s="1"/>
  <c r="C9" i="5"/>
  <c r="C19" i="5" s="1"/>
</calcChain>
</file>

<file path=xl/sharedStrings.xml><?xml version="1.0" encoding="utf-8"?>
<sst xmlns="http://schemas.openxmlformats.org/spreadsheetml/2006/main" count="390" uniqueCount="110">
  <si>
    <t>DIN EN ISO 14912</t>
  </si>
  <si>
    <t>DIN EN ISO 14913</t>
  </si>
  <si>
    <t>DIN EN ISO 14914</t>
  </si>
  <si>
    <t>DIN EN ISO 14915</t>
  </si>
  <si>
    <t>&lt;0.01</t>
    <phoneticPr fontId="1" type="noConversion"/>
  </si>
  <si>
    <t>Chloride(Cl)</t>
    <phoneticPr fontId="1" type="noConversion"/>
  </si>
  <si>
    <t>&lt;0.1</t>
    <phoneticPr fontId="1" type="noConversion"/>
  </si>
  <si>
    <t>Nitrite(NO2)</t>
    <phoneticPr fontId="1" type="noConversion"/>
  </si>
  <si>
    <t>Nitrate(NO3)</t>
    <phoneticPr fontId="1" type="noConversion"/>
  </si>
  <si>
    <t>Sulfate(SO4)</t>
    <phoneticPr fontId="1" type="noConversion"/>
  </si>
  <si>
    <t>F2T1</t>
    <phoneticPr fontId="1" type="noConversion"/>
  </si>
  <si>
    <t>Parameter</t>
    <phoneticPr fontId="1" type="noConversion"/>
  </si>
  <si>
    <t>Unit</t>
    <phoneticPr fontId="1" type="noConversion"/>
  </si>
  <si>
    <t>Norm</t>
    <phoneticPr fontId="1" type="noConversion"/>
  </si>
  <si>
    <t>Measurement SO</t>
    <phoneticPr fontId="1" type="noConversion"/>
  </si>
  <si>
    <t>Acid capacity</t>
    <phoneticPr fontId="1" type="noConversion"/>
  </si>
  <si>
    <t>mmol/l</t>
    <phoneticPr fontId="1" type="noConversion"/>
  </si>
  <si>
    <t>DIN 38409/H7</t>
    <phoneticPr fontId="1" type="noConversion"/>
  </si>
  <si>
    <t>mg/l</t>
    <phoneticPr fontId="1" type="noConversion"/>
  </si>
  <si>
    <t>DIN 38409/T7</t>
    <phoneticPr fontId="1" type="noConversion"/>
  </si>
  <si>
    <t>dH</t>
    <phoneticPr fontId="1" type="noConversion"/>
  </si>
  <si>
    <t>Chloride(Cl)</t>
    <phoneticPr fontId="1" type="noConversion"/>
  </si>
  <si>
    <t>DIN EN ISO 10304</t>
    <phoneticPr fontId="1" type="noConversion"/>
  </si>
  <si>
    <t>Nitrite(NO2)</t>
    <phoneticPr fontId="1" type="noConversion"/>
  </si>
  <si>
    <t>&lt;0.01</t>
    <phoneticPr fontId="1" type="noConversion"/>
  </si>
  <si>
    <t>Nitrate(NO3)</t>
    <phoneticPr fontId="1" type="noConversion"/>
  </si>
  <si>
    <t>Sulfate(SO4)</t>
    <phoneticPr fontId="1" type="noConversion"/>
  </si>
  <si>
    <t>DIN EN ISO 14911</t>
    <phoneticPr fontId="1" type="noConversion"/>
  </si>
  <si>
    <t>&lt;0.1</t>
    <phoneticPr fontId="1" type="noConversion"/>
  </si>
  <si>
    <t>%</t>
    <phoneticPr fontId="1" type="noConversion"/>
  </si>
  <si>
    <t>DIN EN ISO 11885</t>
    <phoneticPr fontId="1" type="noConversion"/>
  </si>
  <si>
    <t>EN 11885/EN 17294-2</t>
    <phoneticPr fontId="1" type="noConversion"/>
  </si>
  <si>
    <t>DIN 38406-E1</t>
    <phoneticPr fontId="1" type="noConversion"/>
  </si>
  <si>
    <t>Sodium(Na)</t>
    <phoneticPr fontId="1" type="noConversion"/>
  </si>
  <si>
    <t>Ammonium(NH4)</t>
    <phoneticPr fontId="1" type="noConversion"/>
  </si>
  <si>
    <t>Magnesium(Mg)</t>
    <phoneticPr fontId="1" type="noConversion"/>
  </si>
  <si>
    <t>Calcium(Ca)</t>
    <phoneticPr fontId="1" type="noConversion"/>
  </si>
  <si>
    <t>Total cation</t>
    <phoneticPr fontId="1" type="noConversion"/>
  </si>
  <si>
    <t>Ionbalance in %</t>
    <phoneticPr fontId="1" type="noConversion"/>
  </si>
  <si>
    <t>Anion:</t>
    <phoneticPr fontId="1" type="noConversion"/>
  </si>
  <si>
    <t>Cation:</t>
    <phoneticPr fontId="1" type="noConversion"/>
  </si>
  <si>
    <t>Iron/Mangnese:</t>
    <phoneticPr fontId="1" type="noConversion"/>
  </si>
  <si>
    <t>Iron(Fe)</t>
    <phoneticPr fontId="1" type="noConversion"/>
  </si>
  <si>
    <t>Iron filtered</t>
    <phoneticPr fontId="1" type="noConversion"/>
  </si>
  <si>
    <t>Iron II(Fe 2+)</t>
    <phoneticPr fontId="1" type="noConversion"/>
  </si>
  <si>
    <t>Lime/carbonic acid parameter:</t>
    <phoneticPr fontId="1" type="noConversion"/>
  </si>
  <si>
    <t>Total anion</t>
    <phoneticPr fontId="1" type="noConversion"/>
  </si>
  <si>
    <t>Potassium(K)</t>
    <phoneticPr fontId="1" type="noConversion"/>
  </si>
  <si>
    <t>Acid capacity PH 4.3</t>
    <phoneticPr fontId="1" type="noConversion"/>
  </si>
  <si>
    <t>F2T2</t>
    <phoneticPr fontId="1" type="noConversion"/>
  </si>
  <si>
    <t>F2T3</t>
    <phoneticPr fontId="1" type="noConversion"/>
  </si>
  <si>
    <t>F2T4</t>
    <phoneticPr fontId="1" type="noConversion"/>
  </si>
  <si>
    <t>Anion:</t>
    <phoneticPr fontId="1" type="noConversion"/>
  </si>
  <si>
    <t>Cation:</t>
    <phoneticPr fontId="1" type="noConversion"/>
  </si>
  <si>
    <t>molarmass(g/mol):</t>
    <phoneticPr fontId="1" type="noConversion"/>
  </si>
  <si>
    <t>T1(mg/l)</t>
    <phoneticPr fontId="1" type="noConversion"/>
  </si>
  <si>
    <t>T2(mg/l)</t>
  </si>
  <si>
    <t>T3(mg/l)</t>
  </si>
  <si>
    <t>T4(mg/l)</t>
  </si>
  <si>
    <t>Anion equivalent concentration(mmol/l):</t>
    <phoneticPr fontId="1" type="noConversion"/>
  </si>
  <si>
    <t>Cation equivalent concentration(mmol/l):</t>
    <phoneticPr fontId="1" type="noConversion"/>
  </si>
  <si>
    <t>ionbalance in%:</t>
    <phoneticPr fontId="1" type="noConversion"/>
  </si>
  <si>
    <t>Bicarbonate(HCO3)</t>
    <phoneticPr fontId="1" type="noConversion"/>
  </si>
  <si>
    <t>Carbon hardness</t>
    <phoneticPr fontId="1" type="noConversion"/>
  </si>
  <si>
    <t>ionstrength</t>
    <phoneticPr fontId="1" type="noConversion"/>
  </si>
  <si>
    <t>a1(mmol/l)</t>
    <phoneticPr fontId="1" type="noConversion"/>
  </si>
  <si>
    <t>a2(mmol/l)</t>
  </si>
  <si>
    <t>a3(mmol/l)</t>
  </si>
  <si>
    <t>a4(mmol/l)</t>
  </si>
  <si>
    <t>s1</t>
    <phoneticPr fontId="1" type="noConversion"/>
  </si>
  <si>
    <t>s2</t>
    <phoneticPr fontId="1" type="noConversion"/>
  </si>
  <si>
    <t>s3</t>
    <phoneticPr fontId="1" type="noConversion"/>
  </si>
  <si>
    <t>s4</t>
    <phoneticPr fontId="1" type="noConversion"/>
  </si>
  <si>
    <t>CaCO3</t>
    <phoneticPr fontId="1" type="noConversion"/>
  </si>
  <si>
    <t>MgCO3</t>
    <phoneticPr fontId="1" type="noConversion"/>
  </si>
  <si>
    <t>FeCO3</t>
    <phoneticPr fontId="1" type="noConversion"/>
  </si>
  <si>
    <t>CaSO4</t>
    <phoneticPr fontId="1" type="noConversion"/>
  </si>
  <si>
    <t>Fe(OH)2</t>
    <phoneticPr fontId="1" type="noConversion"/>
  </si>
  <si>
    <t>p1</t>
    <phoneticPr fontId="1" type="noConversion"/>
  </si>
  <si>
    <t>p2</t>
    <phoneticPr fontId="1" type="noConversion"/>
  </si>
  <si>
    <t>p3</t>
    <phoneticPr fontId="1" type="noConversion"/>
  </si>
  <si>
    <t>p4</t>
    <phoneticPr fontId="1" type="noConversion"/>
  </si>
  <si>
    <t>Fe2+/Fe3+</t>
    <phoneticPr fontId="1" type="noConversion"/>
  </si>
  <si>
    <t>e0</t>
    <phoneticPr fontId="1" type="noConversion"/>
  </si>
  <si>
    <t>Precipitation</t>
    <phoneticPr fontId="1" type="noConversion"/>
  </si>
  <si>
    <t>Ksp</t>
    <phoneticPr fontId="1" type="noConversion"/>
  </si>
  <si>
    <t>carbonate(CO3)</t>
    <phoneticPr fontId="1" type="noConversion"/>
  </si>
  <si>
    <t>K=</t>
    <phoneticPr fontId="1" type="noConversion"/>
  </si>
  <si>
    <t>PH=</t>
    <phoneticPr fontId="1" type="noConversion"/>
  </si>
  <si>
    <t>Assumption 1</t>
    <phoneticPr fontId="1" type="noConversion"/>
  </si>
  <si>
    <t>Assumption 2</t>
  </si>
  <si>
    <t>Assumption 3</t>
  </si>
  <si>
    <t>Due to the lack of statistic of Iron(III), three assumptions are made to determine the number of Iron(III) in the solution.</t>
    <phoneticPr fontId="1" type="noConversion"/>
  </si>
  <si>
    <t>Assume that the quantity of Iron(III) is just at the threshold of detecting device.</t>
    <phoneticPr fontId="1" type="noConversion"/>
  </si>
  <si>
    <t>Assume that all the Iron(III) in the precipitation is originally dissolved in the water.</t>
    <phoneticPr fontId="1" type="noConversion"/>
  </si>
  <si>
    <t>Assume that the quantity of Iron(III) is disolved part of Fe(OH)3 in the water.</t>
    <phoneticPr fontId="1" type="noConversion"/>
  </si>
  <si>
    <t>Ksp of Fe(OH)3=</t>
    <phoneticPr fontId="1" type="noConversion"/>
  </si>
  <si>
    <t>a(Fe3+)=</t>
    <phoneticPr fontId="1" type="noConversion"/>
  </si>
  <si>
    <t>HCO3↔CO3+H</t>
    <phoneticPr fontId="1" type="noConversion"/>
  </si>
  <si>
    <t>a(CO2(g))</t>
    <phoneticPr fontId="1" type="noConversion"/>
  </si>
  <si>
    <t>a(H2CO3)</t>
    <phoneticPr fontId="1" type="noConversion"/>
  </si>
  <si>
    <t>a(CO3)</t>
    <phoneticPr fontId="1" type="noConversion"/>
  </si>
  <si>
    <t>K value</t>
    <phoneticPr fontId="1" type="noConversion"/>
  </si>
  <si>
    <t>T1(mmol/l)</t>
    <phoneticPr fontId="1" type="noConversion"/>
  </si>
  <si>
    <t>T2(mmol/l)</t>
  </si>
  <si>
    <t>T3(mmol/l)</t>
  </si>
  <si>
    <t>T4(mmol/l)</t>
  </si>
  <si>
    <t>CO2(g)+H2O ⇌ H2CO3</t>
    <phoneticPr fontId="1" type="noConversion"/>
  </si>
  <si>
    <t>H2CO3 ⇌ H+HCO3</t>
    <phoneticPr fontId="1" type="noConversion"/>
  </si>
  <si>
    <t>HCO3 ⇌ H+CO3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</si>
</sst>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);[Red]\(0.00\)"/>
    <numFmt numFmtId="177" formatCode="0.0_ "/>
    <numFmt numFmtId="178" formatCode="0.00_ "/>
    <numFmt numFmtId="179" formatCode="0.0_);[Red]\(0.0\)"/>
    <numFmt numFmtId="180" formatCode="0.000_);[Red]\(0.000\)"/>
    <numFmt numFmtId="181" formatCode="0.0000_);[Red]\(0.0000\)"/>
    <numFmt numFmtId="182" formatCode="0.0000_ ;[Red]\-0.0000\ "/>
    <numFmt numFmtId="183" formatCode="0.0000_ "/>
    <numFmt numFmtId="184" formatCode="0.00000_);[Red]\(0.00000\)"/>
    <numFmt numFmtId="185" formatCode="0.00000_ ;[Red]\-0.00000\ 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181" fontId="2" fillId="0" borderId="0" xfId="0" applyNumberFormat="1" applyFont="1">
      <alignment vertical="center"/>
    </xf>
    <xf numFmtId="181" fontId="0" fillId="0" borderId="0" xfId="0" applyNumberFormat="1">
      <alignment vertical="center"/>
    </xf>
    <xf numFmtId="11" fontId="2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0" fontId="2" fillId="0" borderId="0" xfId="0" applyFont="1">
      <alignment vertical="center"/>
    </xf>
    <xf numFmtId="183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1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  <xf numFmtId="184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5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2" sqref="D22"/>
    </sheetView>
  </sheetViews>
  <sheetFormatPr defaultRowHeight="13.5" x14ac:dyDescent="0.15"/>
  <cols>
    <col min="1" max="1" width="18.375" bestFit="1" customWidth="1"/>
    <col min="2" max="2" width="7.5" bestFit="1" customWidth="1"/>
    <col min="3" max="3" width="21.625" bestFit="1" customWidth="1"/>
    <col min="4" max="4" width="16.125" bestFit="1" customWidth="1"/>
    <col min="5" max="5" width="13.875" bestFit="1" customWidth="1"/>
  </cols>
  <sheetData>
    <row r="1" spans="1:4" ht="16.5" x14ac:dyDescent="0.15">
      <c r="A1" s="1" t="s">
        <v>10</v>
      </c>
      <c r="B1" s="1"/>
      <c r="C1" s="1"/>
      <c r="D1" s="1"/>
    </row>
    <row r="2" spans="1:4" ht="16.5" x14ac:dyDescent="0.15">
      <c r="A2" s="1" t="s">
        <v>11</v>
      </c>
      <c r="B2" s="1" t="s">
        <v>12</v>
      </c>
      <c r="C2" s="1" t="s">
        <v>13</v>
      </c>
      <c r="D2" s="1" t="s">
        <v>14</v>
      </c>
    </row>
    <row r="3" spans="1:4" ht="16.5" x14ac:dyDescent="0.15">
      <c r="A3" s="34" t="s">
        <v>45</v>
      </c>
      <c r="B3" s="34"/>
      <c r="C3" s="34"/>
      <c r="D3" s="34"/>
    </row>
    <row r="4" spans="1:4" ht="16.5" x14ac:dyDescent="0.15">
      <c r="A4" s="13" t="s">
        <v>48</v>
      </c>
      <c r="B4" s="1" t="s">
        <v>16</v>
      </c>
      <c r="C4" s="1" t="s">
        <v>17</v>
      </c>
      <c r="D4" s="3">
        <v>4.3600000000000003</v>
      </c>
    </row>
    <row r="5" spans="1:4" ht="16.5" x14ac:dyDescent="0.15">
      <c r="A5" s="2" t="s">
        <v>62</v>
      </c>
      <c r="B5" s="1" t="s">
        <v>18</v>
      </c>
      <c r="C5" s="1" t="s">
        <v>19</v>
      </c>
      <c r="D5" s="5">
        <v>263</v>
      </c>
    </row>
    <row r="6" spans="1:4" ht="16.5" x14ac:dyDescent="0.15">
      <c r="A6" s="2" t="s">
        <v>63</v>
      </c>
      <c r="B6" s="1" t="s">
        <v>20</v>
      </c>
      <c r="C6" s="1" t="s">
        <v>17</v>
      </c>
      <c r="D6" s="3">
        <v>12.21</v>
      </c>
    </row>
    <row r="7" spans="1:4" ht="16.5" x14ac:dyDescent="0.15">
      <c r="A7" s="35" t="s">
        <v>39</v>
      </c>
      <c r="B7" s="35"/>
      <c r="C7" s="35"/>
      <c r="D7" s="35"/>
    </row>
    <row r="8" spans="1:4" ht="16.5" x14ac:dyDescent="0.15">
      <c r="A8" s="1" t="s">
        <v>21</v>
      </c>
      <c r="B8" s="1" t="s">
        <v>18</v>
      </c>
      <c r="C8" s="1" t="s">
        <v>22</v>
      </c>
      <c r="D8" s="3">
        <v>8.4600000000000009</v>
      </c>
    </row>
    <row r="9" spans="1:4" ht="16.5" x14ac:dyDescent="0.15">
      <c r="A9" s="1" t="s">
        <v>23</v>
      </c>
      <c r="B9" s="1" t="s">
        <v>18</v>
      </c>
      <c r="C9" s="1" t="s">
        <v>22</v>
      </c>
      <c r="D9" s="4" t="s">
        <v>4</v>
      </c>
    </row>
    <row r="10" spans="1:4" ht="16.5" x14ac:dyDescent="0.15">
      <c r="A10" s="1" t="s">
        <v>25</v>
      </c>
      <c r="B10" s="1" t="s">
        <v>18</v>
      </c>
      <c r="C10" s="1" t="s">
        <v>22</v>
      </c>
      <c r="D10" s="3">
        <v>0.36</v>
      </c>
    </row>
    <row r="11" spans="1:4" ht="16.5" x14ac:dyDescent="0.15">
      <c r="A11" s="1" t="s">
        <v>26</v>
      </c>
      <c r="B11" s="1" t="s">
        <v>18</v>
      </c>
      <c r="C11" s="1" t="s">
        <v>22</v>
      </c>
      <c r="D11" s="7">
        <v>11.7</v>
      </c>
    </row>
    <row r="12" spans="1:4" ht="16.5" x14ac:dyDescent="0.15">
      <c r="A12" s="1" t="s">
        <v>46</v>
      </c>
      <c r="B12" s="1" t="s">
        <v>16</v>
      </c>
      <c r="C12" s="1"/>
      <c r="D12" s="3">
        <v>4.8499999999999996</v>
      </c>
    </row>
    <row r="13" spans="1:4" ht="16.5" x14ac:dyDescent="0.15">
      <c r="A13" s="35" t="s">
        <v>40</v>
      </c>
      <c r="B13" s="35"/>
      <c r="C13" s="35"/>
      <c r="D13" s="35"/>
    </row>
    <row r="14" spans="1:4" ht="16.5" x14ac:dyDescent="0.15">
      <c r="A14" s="1" t="s">
        <v>33</v>
      </c>
      <c r="B14" s="1" t="s">
        <v>18</v>
      </c>
      <c r="C14" s="1" t="s">
        <v>27</v>
      </c>
      <c r="D14" s="3">
        <v>7.76</v>
      </c>
    </row>
    <row r="15" spans="1:4" ht="16.5" x14ac:dyDescent="0.15">
      <c r="A15" s="1" t="s">
        <v>34</v>
      </c>
      <c r="B15" s="1" t="s">
        <v>18</v>
      </c>
      <c r="C15" s="1" t="s">
        <v>0</v>
      </c>
      <c r="D15" s="4" t="s">
        <v>28</v>
      </c>
    </row>
    <row r="16" spans="1:4" ht="16.5" x14ac:dyDescent="0.15">
      <c r="A16" s="1" t="s">
        <v>47</v>
      </c>
      <c r="B16" s="1" t="s">
        <v>18</v>
      </c>
      <c r="C16" s="1" t="s">
        <v>1</v>
      </c>
      <c r="D16" s="3">
        <v>1.54</v>
      </c>
    </row>
    <row r="17" spans="1:4" ht="16.5" x14ac:dyDescent="0.15">
      <c r="A17" s="1" t="s">
        <v>36</v>
      </c>
      <c r="B17" s="1" t="s">
        <v>18</v>
      </c>
      <c r="C17" s="1" t="s">
        <v>2</v>
      </c>
      <c r="D17" s="7">
        <v>81.5</v>
      </c>
    </row>
    <row r="18" spans="1:4" ht="16.5" x14ac:dyDescent="0.15">
      <c r="A18" s="1" t="s">
        <v>35</v>
      </c>
      <c r="B18" s="1" t="s">
        <v>18</v>
      </c>
      <c r="C18" s="1" t="s">
        <v>3</v>
      </c>
      <c r="D18" s="3">
        <v>6.88</v>
      </c>
    </row>
    <row r="19" spans="1:4" ht="16.5" x14ac:dyDescent="0.15">
      <c r="A19" s="1" t="s">
        <v>37</v>
      </c>
      <c r="B19" s="1" t="s">
        <v>16</v>
      </c>
      <c r="C19" s="1"/>
      <c r="D19" s="3">
        <v>5.0199999999999996</v>
      </c>
    </row>
    <row r="20" spans="1:4" ht="16.5" x14ac:dyDescent="0.15">
      <c r="A20" s="1" t="s">
        <v>38</v>
      </c>
      <c r="B20" s="1" t="s">
        <v>29</v>
      </c>
      <c r="C20" s="1"/>
      <c r="D20" s="6">
        <v>-3.44</v>
      </c>
    </row>
    <row r="21" spans="1:4" ht="16.5" x14ac:dyDescent="0.15">
      <c r="A21" s="35" t="s">
        <v>41</v>
      </c>
      <c r="B21" s="35"/>
      <c r="C21" s="35"/>
      <c r="D21" s="35"/>
    </row>
    <row r="22" spans="1:4" ht="16.5" x14ac:dyDescent="0.15">
      <c r="A22" s="1" t="s">
        <v>42</v>
      </c>
      <c r="B22" s="1" t="s">
        <v>18</v>
      </c>
      <c r="C22" s="1" t="s">
        <v>30</v>
      </c>
      <c r="D22" s="3">
        <v>1.49</v>
      </c>
    </row>
    <row r="23" spans="1:4" ht="16.5" x14ac:dyDescent="0.15">
      <c r="A23" s="1" t="s">
        <v>43</v>
      </c>
      <c r="B23" s="1" t="s">
        <v>18</v>
      </c>
      <c r="C23" s="1" t="s">
        <v>31</v>
      </c>
      <c r="D23" s="3">
        <v>0.08</v>
      </c>
    </row>
    <row r="24" spans="1:4" ht="16.5" x14ac:dyDescent="0.15">
      <c r="A24" s="1" t="s">
        <v>44</v>
      </c>
      <c r="B24" s="1" t="s">
        <v>18</v>
      </c>
      <c r="C24" s="1" t="s">
        <v>32</v>
      </c>
      <c r="D24" s="3">
        <v>0.08</v>
      </c>
    </row>
  </sheetData>
  <mergeCells count="4">
    <mergeCell ref="A3:D3"/>
    <mergeCell ref="A7:D7"/>
    <mergeCell ref="A13:D13"/>
    <mergeCell ref="A21:D2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9" sqref="A29"/>
    </sheetView>
  </sheetViews>
  <sheetFormatPr defaultRowHeight="13.5" x14ac:dyDescent="0.15"/>
  <cols>
    <col min="1" max="1" width="18.375" bestFit="1" customWidth="1"/>
    <col min="2" max="2" width="7" bestFit="1" customWidth="1"/>
    <col min="3" max="3" width="21" bestFit="1" customWidth="1"/>
    <col min="4" max="4" width="16.75" bestFit="1" customWidth="1"/>
  </cols>
  <sheetData>
    <row r="1" spans="1:4" ht="16.5" x14ac:dyDescent="0.15">
      <c r="A1" s="1" t="s">
        <v>49</v>
      </c>
      <c r="B1" s="1"/>
      <c r="C1" s="1"/>
      <c r="D1" s="1"/>
    </row>
    <row r="2" spans="1:4" ht="16.5" x14ac:dyDescent="0.15">
      <c r="A2" s="1" t="s">
        <v>11</v>
      </c>
      <c r="B2" s="1" t="s">
        <v>12</v>
      </c>
      <c r="C2" s="1" t="s">
        <v>13</v>
      </c>
      <c r="D2" s="1" t="s">
        <v>14</v>
      </c>
    </row>
    <row r="3" spans="1:4" ht="16.5" x14ac:dyDescent="0.15">
      <c r="A3" s="34" t="s">
        <v>45</v>
      </c>
      <c r="B3" s="34"/>
      <c r="C3" s="34"/>
      <c r="D3" s="34"/>
    </row>
    <row r="4" spans="1:4" ht="16.5" x14ac:dyDescent="0.15">
      <c r="A4" s="1" t="s">
        <v>15</v>
      </c>
      <c r="B4" s="1" t="s">
        <v>16</v>
      </c>
      <c r="C4" s="1" t="s">
        <v>17</v>
      </c>
      <c r="D4" s="3">
        <v>4.25</v>
      </c>
    </row>
    <row r="5" spans="1:4" ht="16.5" x14ac:dyDescent="0.15">
      <c r="A5" s="2" t="s">
        <v>62</v>
      </c>
      <c r="B5" s="1" t="s">
        <v>18</v>
      </c>
      <c r="C5" s="1" t="s">
        <v>19</v>
      </c>
      <c r="D5" s="7">
        <v>256.3</v>
      </c>
    </row>
    <row r="6" spans="1:4" ht="16.5" x14ac:dyDescent="0.15">
      <c r="A6" s="2" t="s">
        <v>63</v>
      </c>
      <c r="B6" s="1" t="s">
        <v>20</v>
      </c>
      <c r="C6" s="1" t="s">
        <v>17</v>
      </c>
      <c r="D6" s="3">
        <v>11.9</v>
      </c>
    </row>
    <row r="7" spans="1:4" ht="16.5" x14ac:dyDescent="0.15">
      <c r="A7" s="35" t="s">
        <v>39</v>
      </c>
      <c r="B7" s="35"/>
      <c r="C7" s="35"/>
      <c r="D7" s="35"/>
    </row>
    <row r="8" spans="1:4" ht="16.5" x14ac:dyDescent="0.15">
      <c r="A8" s="1" t="s">
        <v>21</v>
      </c>
      <c r="B8" s="1" t="s">
        <v>18</v>
      </c>
      <c r="C8" s="1" t="s">
        <v>22</v>
      </c>
      <c r="D8" s="3">
        <v>8.35</v>
      </c>
    </row>
    <row r="9" spans="1:4" ht="16.5" x14ac:dyDescent="0.15">
      <c r="A9" s="1" t="s">
        <v>23</v>
      </c>
      <c r="B9" s="1" t="s">
        <v>18</v>
      </c>
      <c r="C9" s="1" t="s">
        <v>22</v>
      </c>
      <c r="D9" s="4" t="s">
        <v>24</v>
      </c>
    </row>
    <row r="10" spans="1:4" ht="16.5" x14ac:dyDescent="0.15">
      <c r="A10" s="1" t="s">
        <v>25</v>
      </c>
      <c r="B10" s="1" t="s">
        <v>18</v>
      </c>
      <c r="C10" s="1" t="s">
        <v>22</v>
      </c>
      <c r="D10" s="4" t="s">
        <v>6</v>
      </c>
    </row>
    <row r="11" spans="1:4" ht="16.5" x14ac:dyDescent="0.15">
      <c r="A11" s="1" t="s">
        <v>26</v>
      </c>
      <c r="B11" s="1" t="s">
        <v>18</v>
      </c>
      <c r="C11" s="1" t="s">
        <v>22</v>
      </c>
      <c r="D11" s="3">
        <v>12.6</v>
      </c>
    </row>
    <row r="12" spans="1:4" ht="16.5" x14ac:dyDescent="0.15">
      <c r="A12" s="1" t="s">
        <v>46</v>
      </c>
      <c r="B12" s="1" t="s">
        <v>16</v>
      </c>
      <c r="C12" s="1"/>
      <c r="D12" s="3">
        <v>4.75</v>
      </c>
    </row>
    <row r="13" spans="1:4" ht="16.5" x14ac:dyDescent="0.15">
      <c r="A13" s="35" t="s">
        <v>40</v>
      </c>
      <c r="B13" s="35"/>
      <c r="C13" s="35"/>
      <c r="D13" s="35"/>
    </row>
    <row r="14" spans="1:4" ht="16.5" x14ac:dyDescent="0.15">
      <c r="A14" s="1" t="s">
        <v>33</v>
      </c>
      <c r="B14" s="1" t="s">
        <v>18</v>
      </c>
      <c r="C14" s="1" t="s">
        <v>27</v>
      </c>
      <c r="D14" s="3">
        <v>7.48</v>
      </c>
    </row>
    <row r="15" spans="1:4" ht="16.5" x14ac:dyDescent="0.15">
      <c r="A15" s="1" t="s">
        <v>34</v>
      </c>
      <c r="B15" s="1" t="s">
        <v>18</v>
      </c>
      <c r="C15" s="1" t="s">
        <v>0</v>
      </c>
      <c r="D15" s="4" t="s">
        <v>28</v>
      </c>
    </row>
    <row r="16" spans="1:4" ht="16.5" x14ac:dyDescent="0.15">
      <c r="A16" s="1" t="s">
        <v>47</v>
      </c>
      <c r="B16" s="1" t="s">
        <v>18</v>
      </c>
      <c r="C16" s="1" t="s">
        <v>1</v>
      </c>
      <c r="D16" s="3">
        <v>1.74</v>
      </c>
    </row>
    <row r="17" spans="1:4" ht="16.5" x14ac:dyDescent="0.15">
      <c r="A17" s="1" t="s">
        <v>36</v>
      </c>
      <c r="B17" s="1" t="s">
        <v>18</v>
      </c>
      <c r="C17" s="1" t="s">
        <v>2</v>
      </c>
      <c r="D17" s="7">
        <v>80.2</v>
      </c>
    </row>
    <row r="18" spans="1:4" ht="16.5" x14ac:dyDescent="0.15">
      <c r="A18" s="1" t="s">
        <v>35</v>
      </c>
      <c r="B18" s="1" t="s">
        <v>18</v>
      </c>
      <c r="C18" s="1" t="s">
        <v>3</v>
      </c>
      <c r="D18" s="3">
        <v>6.77</v>
      </c>
    </row>
    <row r="19" spans="1:4" ht="16.5" x14ac:dyDescent="0.15">
      <c r="A19" s="1" t="s">
        <v>37</v>
      </c>
      <c r="B19" s="1" t="s">
        <v>16</v>
      </c>
      <c r="C19" s="1"/>
      <c r="D19" s="3">
        <v>4.93</v>
      </c>
    </row>
    <row r="20" spans="1:4" ht="16.5" x14ac:dyDescent="0.15">
      <c r="A20" s="1" t="s">
        <v>38</v>
      </c>
      <c r="B20" s="1" t="s">
        <v>29</v>
      </c>
      <c r="C20" s="1"/>
      <c r="D20" s="6">
        <v>-3.72</v>
      </c>
    </row>
    <row r="21" spans="1:4" ht="16.5" x14ac:dyDescent="0.15">
      <c r="A21" s="35" t="s">
        <v>41</v>
      </c>
      <c r="B21" s="35"/>
      <c r="C21" s="35"/>
      <c r="D21" s="35"/>
    </row>
    <row r="22" spans="1:4" ht="16.5" x14ac:dyDescent="0.15">
      <c r="A22" s="1" t="s">
        <v>42</v>
      </c>
      <c r="B22" s="1" t="s">
        <v>18</v>
      </c>
      <c r="C22" s="1" t="s">
        <v>30</v>
      </c>
      <c r="D22" s="3">
        <v>1.85</v>
      </c>
    </row>
    <row r="23" spans="1:4" ht="16.5" x14ac:dyDescent="0.15">
      <c r="A23" s="1" t="s">
        <v>43</v>
      </c>
      <c r="B23" s="1" t="s">
        <v>18</v>
      </c>
      <c r="C23" s="1" t="s">
        <v>31</v>
      </c>
      <c r="D23" s="3">
        <v>1.28</v>
      </c>
    </row>
    <row r="24" spans="1:4" ht="16.5" x14ac:dyDescent="0.15">
      <c r="A24" s="1" t="s">
        <v>44</v>
      </c>
      <c r="B24" s="1" t="s">
        <v>18</v>
      </c>
      <c r="C24" s="1" t="s">
        <v>32</v>
      </c>
      <c r="D24" s="3">
        <v>1.28</v>
      </c>
    </row>
  </sheetData>
  <mergeCells count="4">
    <mergeCell ref="A3:D3"/>
    <mergeCell ref="A7:D7"/>
    <mergeCell ref="A13:D13"/>
    <mergeCell ref="A21:D2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6" sqref="A6"/>
    </sheetView>
  </sheetViews>
  <sheetFormatPr defaultRowHeight="13.5" x14ac:dyDescent="0.15"/>
  <cols>
    <col min="1" max="1" width="18.375" bestFit="1" customWidth="1"/>
    <col min="2" max="2" width="7" bestFit="1" customWidth="1"/>
    <col min="3" max="3" width="21" bestFit="1" customWidth="1"/>
    <col min="4" max="4" width="16.75" bestFit="1" customWidth="1"/>
  </cols>
  <sheetData>
    <row r="1" spans="1:4" ht="16.5" x14ac:dyDescent="0.15">
      <c r="A1" s="1" t="s">
        <v>50</v>
      </c>
      <c r="B1" s="1"/>
      <c r="C1" s="1"/>
      <c r="D1" s="1"/>
    </row>
    <row r="2" spans="1:4" ht="16.5" x14ac:dyDescent="0.15">
      <c r="A2" s="1" t="s">
        <v>11</v>
      </c>
      <c r="B2" s="1" t="s">
        <v>12</v>
      </c>
      <c r="C2" s="1" t="s">
        <v>13</v>
      </c>
      <c r="D2" s="1" t="s">
        <v>14</v>
      </c>
    </row>
    <row r="3" spans="1:4" ht="16.5" x14ac:dyDescent="0.15">
      <c r="A3" s="34" t="s">
        <v>45</v>
      </c>
      <c r="B3" s="34"/>
      <c r="C3" s="34"/>
      <c r="D3" s="34"/>
    </row>
    <row r="4" spans="1:4" ht="16.5" x14ac:dyDescent="0.15">
      <c r="A4" s="1" t="s">
        <v>15</v>
      </c>
      <c r="B4" s="1" t="s">
        <v>16</v>
      </c>
      <c r="C4" s="1" t="s">
        <v>17</v>
      </c>
      <c r="D4" s="3">
        <v>4.2300000000000004</v>
      </c>
    </row>
    <row r="5" spans="1:4" ht="16.5" x14ac:dyDescent="0.15">
      <c r="A5" s="2" t="s">
        <v>62</v>
      </c>
      <c r="B5" s="1" t="s">
        <v>18</v>
      </c>
      <c r="C5" s="1" t="s">
        <v>19</v>
      </c>
      <c r="D5" s="7">
        <v>255.1</v>
      </c>
    </row>
    <row r="6" spans="1:4" ht="16.5" x14ac:dyDescent="0.15">
      <c r="A6" s="2" t="s">
        <v>63</v>
      </c>
      <c r="B6" s="1" t="s">
        <v>20</v>
      </c>
      <c r="C6" s="1" t="s">
        <v>17</v>
      </c>
      <c r="D6" s="3">
        <v>11.84</v>
      </c>
    </row>
    <row r="7" spans="1:4" ht="16.5" x14ac:dyDescent="0.15">
      <c r="A7" s="35" t="s">
        <v>39</v>
      </c>
      <c r="B7" s="35"/>
      <c r="C7" s="35"/>
      <c r="D7" s="35"/>
    </row>
    <row r="8" spans="1:4" ht="16.5" x14ac:dyDescent="0.15">
      <c r="A8" s="1" t="s">
        <v>21</v>
      </c>
      <c r="B8" s="1" t="s">
        <v>18</v>
      </c>
      <c r="C8" s="1" t="s">
        <v>22</v>
      </c>
      <c r="D8" s="3">
        <v>8.4600000000000009</v>
      </c>
    </row>
    <row r="9" spans="1:4" ht="16.5" x14ac:dyDescent="0.15">
      <c r="A9" s="1" t="s">
        <v>23</v>
      </c>
      <c r="B9" s="1" t="s">
        <v>18</v>
      </c>
      <c r="C9" s="1" t="s">
        <v>22</v>
      </c>
      <c r="D9" s="4" t="s">
        <v>24</v>
      </c>
    </row>
    <row r="10" spans="1:4" ht="16.5" x14ac:dyDescent="0.15">
      <c r="A10" s="1" t="s">
        <v>25</v>
      </c>
      <c r="B10" s="1" t="s">
        <v>18</v>
      </c>
      <c r="C10" s="1" t="s">
        <v>22</v>
      </c>
      <c r="D10" s="4" t="s">
        <v>6</v>
      </c>
    </row>
    <row r="11" spans="1:4" ht="16.5" x14ac:dyDescent="0.15">
      <c r="A11" s="1" t="s">
        <v>26</v>
      </c>
      <c r="B11" s="1" t="s">
        <v>18</v>
      </c>
      <c r="C11" s="1" t="s">
        <v>22</v>
      </c>
      <c r="D11" s="7">
        <v>12.7</v>
      </c>
    </row>
    <row r="12" spans="1:4" ht="16.5" x14ac:dyDescent="0.15">
      <c r="A12" s="1" t="s">
        <v>46</v>
      </c>
      <c r="B12" s="1" t="s">
        <v>16</v>
      </c>
      <c r="C12" s="1"/>
      <c r="D12" s="3">
        <v>4.7300000000000004</v>
      </c>
    </row>
    <row r="13" spans="1:4" ht="16.5" x14ac:dyDescent="0.15">
      <c r="A13" s="35" t="s">
        <v>40</v>
      </c>
      <c r="B13" s="35"/>
      <c r="C13" s="35"/>
      <c r="D13" s="35"/>
    </row>
    <row r="14" spans="1:4" ht="16.5" x14ac:dyDescent="0.15">
      <c r="A14" s="1" t="s">
        <v>33</v>
      </c>
      <c r="B14" s="1" t="s">
        <v>18</v>
      </c>
      <c r="C14" s="1" t="s">
        <v>27</v>
      </c>
      <c r="D14" s="3">
        <v>7.58</v>
      </c>
    </row>
    <row r="15" spans="1:4" ht="16.5" x14ac:dyDescent="0.15">
      <c r="A15" s="1" t="s">
        <v>34</v>
      </c>
      <c r="B15" s="1" t="s">
        <v>18</v>
      </c>
      <c r="C15" s="1" t="s">
        <v>0</v>
      </c>
      <c r="D15" s="4">
        <v>0.15</v>
      </c>
    </row>
    <row r="16" spans="1:4" ht="16.5" x14ac:dyDescent="0.15">
      <c r="A16" s="1" t="s">
        <v>47</v>
      </c>
      <c r="B16" s="1" t="s">
        <v>18</v>
      </c>
      <c r="C16" s="1" t="s">
        <v>1</v>
      </c>
      <c r="D16" s="3">
        <v>1.8</v>
      </c>
    </row>
    <row r="17" spans="1:4" ht="16.5" x14ac:dyDescent="0.15">
      <c r="A17" s="1" t="s">
        <v>36</v>
      </c>
      <c r="B17" s="1" t="s">
        <v>18</v>
      </c>
      <c r="C17" s="1" t="s">
        <v>2</v>
      </c>
      <c r="D17" s="7">
        <v>78.7</v>
      </c>
    </row>
    <row r="18" spans="1:4" ht="16.5" x14ac:dyDescent="0.15">
      <c r="A18" s="1" t="s">
        <v>35</v>
      </c>
      <c r="B18" s="1" t="s">
        <v>18</v>
      </c>
      <c r="C18" s="1" t="s">
        <v>3</v>
      </c>
      <c r="D18" s="3">
        <v>6.45</v>
      </c>
    </row>
    <row r="19" spans="1:4" ht="16.5" x14ac:dyDescent="0.15">
      <c r="A19" s="1" t="s">
        <v>37</v>
      </c>
      <c r="B19" s="1" t="s">
        <v>16</v>
      </c>
      <c r="C19" s="1"/>
      <c r="D19" s="3">
        <v>4.84</v>
      </c>
    </row>
    <row r="20" spans="1:4" ht="16.5" x14ac:dyDescent="0.15">
      <c r="A20" s="1" t="s">
        <v>38</v>
      </c>
      <c r="B20" s="1" t="s">
        <v>29</v>
      </c>
      <c r="C20" s="1"/>
      <c r="D20" s="6">
        <v>-2.2999999999999998</v>
      </c>
    </row>
    <row r="21" spans="1:4" ht="16.5" x14ac:dyDescent="0.15">
      <c r="A21" s="35" t="s">
        <v>41</v>
      </c>
      <c r="B21" s="35"/>
      <c r="C21" s="35"/>
      <c r="D21" s="35"/>
    </row>
    <row r="22" spans="1:4" ht="16.5" x14ac:dyDescent="0.15">
      <c r="A22" s="1" t="s">
        <v>42</v>
      </c>
      <c r="B22" s="1" t="s">
        <v>18</v>
      </c>
      <c r="C22" s="1" t="s">
        <v>30</v>
      </c>
      <c r="D22" s="1">
        <v>1.52</v>
      </c>
    </row>
    <row r="23" spans="1:4" ht="16.5" x14ac:dyDescent="0.15">
      <c r="A23" s="1" t="s">
        <v>43</v>
      </c>
      <c r="B23" s="1" t="s">
        <v>18</v>
      </c>
      <c r="C23" s="1" t="s">
        <v>31</v>
      </c>
      <c r="D23" s="1">
        <v>1.34</v>
      </c>
    </row>
    <row r="24" spans="1:4" ht="16.5" x14ac:dyDescent="0.15">
      <c r="A24" s="1" t="s">
        <v>44</v>
      </c>
      <c r="B24" s="1" t="s">
        <v>18</v>
      </c>
      <c r="C24" s="1" t="s">
        <v>32</v>
      </c>
      <c r="D24" s="1">
        <v>1.34</v>
      </c>
    </row>
  </sheetData>
  <mergeCells count="4">
    <mergeCell ref="A3:D3"/>
    <mergeCell ref="A7:D7"/>
    <mergeCell ref="A13:D13"/>
    <mergeCell ref="A21:D2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E9" sqref="E9"/>
    </sheetView>
  </sheetViews>
  <sheetFormatPr defaultRowHeight="13.5" x14ac:dyDescent="0.15"/>
  <cols>
    <col min="1" max="1" width="18.375" bestFit="1" customWidth="1"/>
    <col min="2" max="2" width="7" bestFit="1" customWidth="1"/>
    <col min="3" max="3" width="21" bestFit="1" customWidth="1"/>
    <col min="4" max="4" width="16.75" bestFit="1" customWidth="1"/>
  </cols>
  <sheetData>
    <row r="1" spans="1:4" ht="16.5" x14ac:dyDescent="0.15">
      <c r="A1" s="1" t="s">
        <v>51</v>
      </c>
      <c r="B1" s="1"/>
      <c r="C1" s="1"/>
      <c r="D1" s="1"/>
    </row>
    <row r="2" spans="1:4" ht="16.5" x14ac:dyDescent="0.15">
      <c r="A2" s="1" t="s">
        <v>11</v>
      </c>
      <c r="B2" s="1" t="s">
        <v>12</v>
      </c>
      <c r="C2" s="1" t="s">
        <v>13</v>
      </c>
      <c r="D2" s="1" t="s">
        <v>14</v>
      </c>
    </row>
    <row r="3" spans="1:4" ht="16.5" x14ac:dyDescent="0.15">
      <c r="A3" s="34" t="s">
        <v>45</v>
      </c>
      <c r="B3" s="34"/>
      <c r="C3" s="34"/>
      <c r="D3" s="34"/>
    </row>
    <row r="4" spans="1:4" ht="16.5" x14ac:dyDescent="0.15">
      <c r="A4" s="1" t="s">
        <v>15</v>
      </c>
      <c r="B4" s="1" t="s">
        <v>16</v>
      </c>
      <c r="C4" s="1" t="s">
        <v>17</v>
      </c>
      <c r="D4" s="3">
        <v>4.25</v>
      </c>
    </row>
    <row r="5" spans="1:4" ht="16.5" x14ac:dyDescent="0.15">
      <c r="A5" s="2" t="s">
        <v>62</v>
      </c>
      <c r="B5" s="1" t="s">
        <v>18</v>
      </c>
      <c r="C5" s="1" t="s">
        <v>19</v>
      </c>
      <c r="D5" s="7">
        <v>256.3</v>
      </c>
    </row>
    <row r="6" spans="1:4" ht="16.5" x14ac:dyDescent="0.15">
      <c r="A6" s="2" t="s">
        <v>63</v>
      </c>
      <c r="B6" s="1" t="s">
        <v>20</v>
      </c>
      <c r="C6" s="1" t="s">
        <v>17</v>
      </c>
      <c r="D6" s="3">
        <v>11.9</v>
      </c>
    </row>
    <row r="7" spans="1:4" ht="16.5" x14ac:dyDescent="0.15">
      <c r="A7" s="35" t="s">
        <v>39</v>
      </c>
      <c r="B7" s="35"/>
      <c r="C7" s="35"/>
      <c r="D7" s="35"/>
    </row>
    <row r="8" spans="1:4" ht="16.5" x14ac:dyDescent="0.15">
      <c r="A8" s="1" t="s">
        <v>21</v>
      </c>
      <c r="B8" s="1" t="s">
        <v>18</v>
      </c>
      <c r="C8" s="1" t="s">
        <v>22</v>
      </c>
      <c r="D8" s="3">
        <v>8.5500000000000007</v>
      </c>
    </row>
    <row r="9" spans="1:4" ht="16.5" x14ac:dyDescent="0.15">
      <c r="A9" s="1" t="s">
        <v>23</v>
      </c>
      <c r="B9" s="1" t="s">
        <v>18</v>
      </c>
      <c r="C9" s="1" t="s">
        <v>22</v>
      </c>
      <c r="D9" s="4" t="s">
        <v>24</v>
      </c>
    </row>
    <row r="10" spans="1:4" ht="16.5" x14ac:dyDescent="0.15">
      <c r="A10" s="1" t="s">
        <v>25</v>
      </c>
      <c r="B10" s="1" t="s">
        <v>18</v>
      </c>
      <c r="C10" s="1" t="s">
        <v>22</v>
      </c>
      <c r="D10" s="4" t="s">
        <v>6</v>
      </c>
    </row>
    <row r="11" spans="1:4" ht="16.5" x14ac:dyDescent="0.15">
      <c r="A11" s="1" t="s">
        <v>26</v>
      </c>
      <c r="B11" s="1" t="s">
        <v>18</v>
      </c>
      <c r="C11" s="1" t="s">
        <v>22</v>
      </c>
      <c r="D11" s="7">
        <v>12.6</v>
      </c>
    </row>
    <row r="12" spans="1:4" ht="16.5" x14ac:dyDescent="0.15">
      <c r="A12" s="1" t="s">
        <v>46</v>
      </c>
      <c r="B12" s="1" t="s">
        <v>16</v>
      </c>
      <c r="C12" s="1"/>
      <c r="D12" s="3">
        <v>4.76</v>
      </c>
    </row>
    <row r="13" spans="1:4" ht="16.5" x14ac:dyDescent="0.15">
      <c r="A13" s="35" t="s">
        <v>40</v>
      </c>
      <c r="B13" s="35"/>
      <c r="C13" s="35"/>
      <c r="D13" s="35"/>
    </row>
    <row r="14" spans="1:4" ht="16.5" x14ac:dyDescent="0.15">
      <c r="A14" s="1" t="s">
        <v>33</v>
      </c>
      <c r="B14" s="1" t="s">
        <v>18</v>
      </c>
      <c r="C14" s="1" t="s">
        <v>27</v>
      </c>
      <c r="D14" s="3">
        <v>7.57</v>
      </c>
    </row>
    <row r="15" spans="1:4" ht="16.5" x14ac:dyDescent="0.15">
      <c r="A15" s="1" t="s">
        <v>34</v>
      </c>
      <c r="B15" s="1" t="s">
        <v>18</v>
      </c>
      <c r="C15" s="1" t="s">
        <v>0</v>
      </c>
      <c r="D15" s="4">
        <v>0.15</v>
      </c>
    </row>
    <row r="16" spans="1:4" ht="16.5" x14ac:dyDescent="0.15">
      <c r="A16" s="1" t="s">
        <v>47</v>
      </c>
      <c r="B16" s="1" t="s">
        <v>18</v>
      </c>
      <c r="C16" s="1" t="s">
        <v>1</v>
      </c>
      <c r="D16" s="3">
        <v>1.74</v>
      </c>
    </row>
    <row r="17" spans="1:4" ht="16.5" x14ac:dyDescent="0.15">
      <c r="A17" s="1" t="s">
        <v>36</v>
      </c>
      <c r="B17" s="1" t="s">
        <v>18</v>
      </c>
      <c r="C17" s="1" t="s">
        <v>2</v>
      </c>
      <c r="D17" s="7">
        <v>79.3</v>
      </c>
    </row>
    <row r="18" spans="1:4" ht="16.5" x14ac:dyDescent="0.15">
      <c r="A18" s="1" t="s">
        <v>35</v>
      </c>
      <c r="B18" s="1" t="s">
        <v>18</v>
      </c>
      <c r="C18" s="1" t="s">
        <v>3</v>
      </c>
      <c r="D18" s="3">
        <v>6.51</v>
      </c>
    </row>
    <row r="19" spans="1:4" ht="16.5" x14ac:dyDescent="0.15">
      <c r="A19" s="1" t="s">
        <v>37</v>
      </c>
      <c r="B19" s="1" t="s">
        <v>16</v>
      </c>
      <c r="C19" s="1"/>
      <c r="D19" s="3">
        <v>4.87</v>
      </c>
    </row>
    <row r="20" spans="1:4" ht="16.5" x14ac:dyDescent="0.15">
      <c r="A20" s="1" t="s">
        <v>38</v>
      </c>
      <c r="B20" s="1" t="s">
        <v>29</v>
      </c>
      <c r="C20" s="1"/>
      <c r="D20" s="6">
        <v>-2.2799999999999998</v>
      </c>
    </row>
    <row r="21" spans="1:4" ht="16.5" x14ac:dyDescent="0.15">
      <c r="A21" s="35" t="s">
        <v>41</v>
      </c>
      <c r="B21" s="35"/>
      <c r="C21" s="35"/>
      <c r="D21" s="35"/>
    </row>
    <row r="22" spans="1:4" ht="16.5" x14ac:dyDescent="0.15">
      <c r="A22" s="1" t="s">
        <v>42</v>
      </c>
      <c r="B22" s="1" t="s">
        <v>18</v>
      </c>
      <c r="C22" s="1" t="s">
        <v>30</v>
      </c>
      <c r="D22" s="1">
        <v>1.37</v>
      </c>
    </row>
    <row r="23" spans="1:4" ht="16.5" x14ac:dyDescent="0.15">
      <c r="A23" s="1" t="s">
        <v>43</v>
      </c>
      <c r="B23" s="1" t="s">
        <v>18</v>
      </c>
      <c r="C23" s="1" t="s">
        <v>31</v>
      </c>
      <c r="D23" s="1">
        <v>1.32</v>
      </c>
    </row>
    <row r="24" spans="1:4" ht="16.5" x14ac:dyDescent="0.15">
      <c r="A24" s="1" t="s">
        <v>44</v>
      </c>
      <c r="B24" s="1" t="s">
        <v>18</v>
      </c>
      <c r="C24" s="1" t="s">
        <v>32</v>
      </c>
      <c r="D24" s="1">
        <v>1.32</v>
      </c>
    </row>
  </sheetData>
  <mergeCells count="4">
    <mergeCell ref="A3:D3"/>
    <mergeCell ref="A7:D7"/>
    <mergeCell ref="A13:D13"/>
    <mergeCell ref="A21:D2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5" zoomScaleNormal="85" workbookViewId="0">
      <selection activeCell="L14" sqref="L14"/>
    </sheetView>
  </sheetViews>
  <sheetFormatPr defaultRowHeight="13.5" x14ac:dyDescent="0.15"/>
  <cols>
    <col min="1" max="1" width="19.125" bestFit="1" customWidth="1"/>
    <col min="2" max="2" width="18.375" bestFit="1" customWidth="1"/>
    <col min="3" max="6" width="8.75" customWidth="1"/>
    <col min="7" max="10" width="10.75" bestFit="1" customWidth="1"/>
    <col min="11" max="11" width="11.875" bestFit="1" customWidth="1"/>
    <col min="12" max="12" width="8.375" bestFit="1" customWidth="1"/>
    <col min="13" max="13" width="8.75" bestFit="1" customWidth="1"/>
    <col min="14" max="14" width="9.625" customWidth="1"/>
    <col min="15" max="15" width="8.75" bestFit="1" customWidth="1"/>
    <col min="16" max="17" width="9" bestFit="1" customWidth="1"/>
  </cols>
  <sheetData>
    <row r="1" spans="1:19" ht="16.5" x14ac:dyDescent="0.15">
      <c r="B1" s="1" t="s">
        <v>54</v>
      </c>
      <c r="C1" s="2" t="s">
        <v>55</v>
      </c>
      <c r="D1" s="2" t="s">
        <v>56</v>
      </c>
      <c r="E1" s="2" t="s">
        <v>57</v>
      </c>
      <c r="F1" s="2" t="s">
        <v>58</v>
      </c>
      <c r="G1" s="12" t="s">
        <v>65</v>
      </c>
      <c r="H1" s="12" t="s">
        <v>66</v>
      </c>
      <c r="I1" s="12" t="s">
        <v>67</v>
      </c>
      <c r="J1" s="12" t="s">
        <v>68</v>
      </c>
      <c r="L1" s="13"/>
      <c r="M1" s="13"/>
      <c r="N1" s="13"/>
      <c r="O1" s="13"/>
      <c r="P1" s="18"/>
      <c r="Q1" s="18"/>
      <c r="R1" s="18"/>
      <c r="S1" s="18"/>
    </row>
    <row r="2" spans="1:19" ht="16.5" x14ac:dyDescent="0.15">
      <c r="A2" s="10" t="s">
        <v>52</v>
      </c>
      <c r="B2" s="10"/>
      <c r="C2" s="10"/>
      <c r="D2" s="10"/>
      <c r="E2" s="10"/>
      <c r="F2" s="10"/>
    </row>
    <row r="3" spans="1:19" ht="16.5" x14ac:dyDescent="0.15">
      <c r="A3" s="1" t="s">
        <v>5</v>
      </c>
      <c r="B3" s="8">
        <v>35.453000000000003</v>
      </c>
      <c r="C3" s="3">
        <v>8.4600000000000009</v>
      </c>
      <c r="D3" s="3">
        <v>8.35</v>
      </c>
      <c r="E3" s="3">
        <v>8.4600000000000009</v>
      </c>
      <c r="F3" s="3">
        <v>8.5500000000000007</v>
      </c>
      <c r="G3" s="14">
        <f>10^(-0.496*1*SQRT(C$21)/(3*0.3258*(SQRT(C$21)+1)))*C3/$B3</f>
        <v>0.21759578479065511</v>
      </c>
      <c r="H3" s="14">
        <f>10^(-0.496*1*SQRT(D$21)/(3*0.3258*(SQRT(D$21)+1)))*D3/$B3</f>
        <v>0.21485906984337116</v>
      </c>
      <c r="I3" s="14">
        <f>10^(-0.496*1*SQRT(E$21)/(3*0.3258*(SQRT(E$21)+1)))*E3/$B3</f>
        <v>0.21781785966209571</v>
      </c>
      <c r="J3" s="14">
        <f>10^(-0.496*1*SQRT(F$21)/(3*0.3258*(SQRT(F$21)+1)))*F3/$B3</f>
        <v>0.22008070582388983</v>
      </c>
      <c r="K3" s="13"/>
      <c r="L3" s="17"/>
      <c r="M3" s="17"/>
      <c r="N3" s="17"/>
      <c r="O3" s="17"/>
    </row>
    <row r="4" spans="1:19" ht="16.5" x14ac:dyDescent="0.15">
      <c r="A4" s="1" t="s">
        <v>7</v>
      </c>
      <c r="B4" s="8">
        <v>46.006</v>
      </c>
      <c r="C4" s="4">
        <v>0.01</v>
      </c>
      <c r="D4" s="4">
        <v>0.01</v>
      </c>
      <c r="E4" s="4">
        <v>0.01</v>
      </c>
      <c r="F4" s="4">
        <v>0.01</v>
      </c>
      <c r="G4" s="14">
        <f>10^(-0.496*1*SQRT(C$21)/(3*0.3258*(SQRT(C$21)+1)))*C4/$B4</f>
        <v>1.9820683678383136E-4</v>
      </c>
      <c r="H4" s="14">
        <f t="shared" ref="H4:J5" si="0">10^(-0.496*1*(SQRT(D$21)/(SQRT(D$21)+1)-0.3*D$21))*D4/$B4</f>
        <v>1.9920002826042538E-4</v>
      </c>
      <c r="I4" s="14">
        <f t="shared" si="0"/>
        <v>1.993078959020002E-4</v>
      </c>
      <c r="J4" s="14">
        <f t="shared" si="0"/>
        <v>1.9926266756085351E-4</v>
      </c>
      <c r="K4" s="13"/>
      <c r="L4" s="17"/>
      <c r="M4" s="17"/>
      <c r="N4" s="17"/>
      <c r="O4" s="17"/>
    </row>
    <row r="5" spans="1:19" ht="16.5" x14ac:dyDescent="0.15">
      <c r="A5" s="1" t="s">
        <v>8</v>
      </c>
      <c r="B5" s="8">
        <v>62.005000000000003</v>
      </c>
      <c r="C5" s="3">
        <v>0.36</v>
      </c>
      <c r="D5" s="4">
        <v>0.1</v>
      </c>
      <c r="E5" s="4">
        <v>0.1</v>
      </c>
      <c r="F5" s="4">
        <v>0.1</v>
      </c>
      <c r="G5" s="14">
        <f>10^(-0.496*1*SQRT(C$21)/(3*0.3258*(SQRT(C$21)+1)))*C5/$B5</f>
        <v>5.2943042398317878E-3</v>
      </c>
      <c r="H5" s="14">
        <f t="shared" si="0"/>
        <v>1.4780092734697412E-3</v>
      </c>
      <c r="I5" s="14">
        <f t="shared" si="0"/>
        <v>1.4788096216220338E-3</v>
      </c>
      <c r="J5" s="14">
        <f t="shared" si="0"/>
        <v>1.4784740398039878E-3</v>
      </c>
      <c r="K5" s="13"/>
      <c r="L5" s="17"/>
      <c r="M5" s="17"/>
      <c r="N5" s="17"/>
      <c r="O5" s="17"/>
    </row>
    <row r="6" spans="1:19" ht="16.5" x14ac:dyDescent="0.15">
      <c r="A6" s="2" t="s">
        <v>62</v>
      </c>
      <c r="B6" s="8">
        <v>61.017000000000003</v>
      </c>
      <c r="C6" s="5">
        <v>263</v>
      </c>
      <c r="D6" s="7">
        <v>256.3</v>
      </c>
      <c r="E6" s="7">
        <v>255.1</v>
      </c>
      <c r="F6" s="7">
        <v>256.3</v>
      </c>
      <c r="G6" s="14">
        <f>10^(-0.496*1*SQRT(C$21)/(4.25*0.3258*(SQRT(C$21)+1)))*C6/$B6</f>
        <v>4.0385213562175677</v>
      </c>
      <c r="H6" s="14">
        <f>10^(-0.496*1*SQRT(D$21)/(4.25*0.3258*(SQRT(D$21)+1)))*D6/$B6</f>
        <v>3.9368359024909538</v>
      </c>
      <c r="I6" s="14">
        <f>10^(-0.496*1*SQRT(E$21)/(4.25*0.3258*(SQRT(E$21)+1)))*E6/$B6</f>
        <v>3.9200337450038547</v>
      </c>
      <c r="J6" s="14">
        <f>10^(-0.496*1*SQRT(F$21)/(4.25*0.3258*(SQRT(F$21)+1)))*F6/$B6</f>
        <v>3.9377871260499053</v>
      </c>
      <c r="K6" s="13"/>
      <c r="L6" s="17"/>
      <c r="M6" s="17"/>
      <c r="N6" s="17"/>
      <c r="O6" s="17"/>
    </row>
    <row r="7" spans="1:19" ht="16.5" x14ac:dyDescent="0.15">
      <c r="A7" s="1" t="s">
        <v>9</v>
      </c>
      <c r="B7" s="8">
        <v>96.063000000000002</v>
      </c>
      <c r="C7" s="7">
        <v>11.7</v>
      </c>
      <c r="D7" s="3">
        <v>12.6</v>
      </c>
      <c r="E7" s="7">
        <v>12.7</v>
      </c>
      <c r="F7" s="7">
        <v>12.6</v>
      </c>
      <c r="G7" s="14">
        <f>10^(-0.496*1*SQRT(C$21)/(4*0.3258*(SQRT(C$21)+1)))*C7/$B7</f>
        <v>0.11365264456417011</v>
      </c>
      <c r="H7" s="14">
        <f>10^(-0.496*1*SQRT(D$21)/(4*0.3258*(SQRT(D$21)+1)))*D7/$B7</f>
        <v>0.12243470936529398</v>
      </c>
      <c r="I7" s="14">
        <f>10^(-0.496*1*SQRT(E$21)/(4*0.3258*(SQRT(E$21)+1)))*E7/$B7</f>
        <v>0.12346096324992632</v>
      </c>
      <c r="J7" s="14">
        <f>10^(-0.496*1*SQRT(F$21)/(4*0.3258*(SQRT(F$21)+1)))*F7/$B7</f>
        <v>0.12246614136831797</v>
      </c>
      <c r="K7" s="13"/>
    </row>
    <row r="8" spans="1:19" ht="16.5" x14ac:dyDescent="0.15">
      <c r="A8" s="2"/>
      <c r="B8" s="8"/>
      <c r="C8" s="5"/>
      <c r="D8" s="7"/>
      <c r="E8" s="7"/>
      <c r="G8" s="15"/>
      <c r="H8" s="15"/>
      <c r="I8" s="15"/>
      <c r="J8" s="15"/>
      <c r="K8" s="13"/>
    </row>
    <row r="9" spans="1:19" ht="16.5" x14ac:dyDescent="0.15">
      <c r="A9" s="35" t="s">
        <v>59</v>
      </c>
      <c r="B9" s="35"/>
      <c r="C9" s="14">
        <f>C3/$B3+C4/$B4+C5/$B5+C7/$B7*2+C6/$B6</f>
        <v>4.7985134624439594</v>
      </c>
      <c r="D9" s="14">
        <f>D3/$B3+D4/$B4+D5/$B5+D7/$B7*2+D6/$B6</f>
        <v>4.7001497922016986</v>
      </c>
      <c r="E9" s="14">
        <f>E3/$B3+E4/$B4+E5/$B5+E7/$B7*2+E6/$B6</f>
        <v>4.6856678083148005</v>
      </c>
      <c r="F9" s="14">
        <f>F3/$B3+F4/$B4+F5/$B5+F7/$B7*2+F6/$B6</f>
        <v>4.7057910637443037</v>
      </c>
      <c r="G9" s="15"/>
      <c r="H9" s="15"/>
      <c r="I9" s="15"/>
      <c r="J9" s="15"/>
    </row>
    <row r="10" spans="1:19" ht="16.5" x14ac:dyDescent="0.15">
      <c r="A10" s="11" t="s">
        <v>53</v>
      </c>
      <c r="B10" s="11"/>
      <c r="C10" s="11"/>
      <c r="D10" s="11"/>
      <c r="E10" s="11"/>
      <c r="F10" s="11"/>
      <c r="G10" s="15"/>
      <c r="H10" s="15"/>
      <c r="I10" s="15"/>
      <c r="J10" s="15"/>
    </row>
    <row r="11" spans="1:19" ht="16.5" x14ac:dyDescent="0.15">
      <c r="A11" s="1" t="s">
        <v>33</v>
      </c>
      <c r="B11" s="8">
        <v>22.99</v>
      </c>
      <c r="C11" s="3">
        <v>7.76</v>
      </c>
      <c r="D11" s="3">
        <v>7.48</v>
      </c>
      <c r="E11" s="3">
        <v>7.58</v>
      </c>
      <c r="F11" s="3">
        <v>7.57</v>
      </c>
      <c r="G11" s="14">
        <f>10^(-0.496*1*(SQRT(C$21)/(4.25*0.3258*SQRT(C$21)+1)))*C11/$B11</f>
        <v>0.30925422121996027</v>
      </c>
      <c r="H11" s="14">
        <f>10^(-0.496*1*(SQRT(D$21)/(4.25*0.3258*SQRT(D$21)+1)))*D11/$B11</f>
        <v>0.29821383488813058</v>
      </c>
      <c r="I11" s="14">
        <f>10^(-0.496*1*(SQRT(E$21)/(4.25*0.3258*SQRT(E$21)+1)))*E11/$B11</f>
        <v>0.30236470954092415</v>
      </c>
      <c r="J11" s="14">
        <f>10^(-0.496*1*(SQRT(F$21)/(4.25*0.3258*SQRT(F$21)+1)))*F11/$B11</f>
        <v>0.30189711605871183</v>
      </c>
      <c r="M11" s="18"/>
      <c r="N11" s="18"/>
      <c r="O11" s="18"/>
      <c r="P11" s="18"/>
      <c r="Q11" s="18"/>
    </row>
    <row r="12" spans="1:19" ht="16.5" x14ac:dyDescent="0.15">
      <c r="A12" s="1" t="s">
        <v>34</v>
      </c>
      <c r="B12" s="8">
        <v>18.038</v>
      </c>
      <c r="C12" s="4">
        <v>0.1</v>
      </c>
      <c r="D12" s="4">
        <v>0.1</v>
      </c>
      <c r="E12" s="4">
        <v>0.15</v>
      </c>
      <c r="F12" s="4">
        <v>0.15</v>
      </c>
      <c r="G12" s="14">
        <f>10^(-0.496*1*(SQRT(C$21)/(2*0.3258*SQRT(C$21)+1)))*C12/$B12</f>
        <v>5.0529211856557843E-3</v>
      </c>
      <c r="H12" s="14">
        <f>10^(-0.496*1*(SQRT(D$21)/(2*0.3258*SQRT(D$21)+1)))*D12/$B12</f>
        <v>5.0551711367974976E-3</v>
      </c>
      <c r="I12" s="14">
        <f>10^(-0.496*1*(SQRT(E$21)/(2*0.3258*SQRT(E$21)+1)))*E12/$B12</f>
        <v>7.5873737562930739E-3</v>
      </c>
      <c r="J12" s="14">
        <f>10^(-0.496*1*(SQRT(F$21)/(2*0.3258*SQRT(F$21)+1)))*F12/$B12</f>
        <v>7.5854383059576055E-3</v>
      </c>
      <c r="K12" s="18"/>
      <c r="L12" s="18"/>
      <c r="M12" s="19"/>
      <c r="N12" s="19"/>
      <c r="O12" s="19"/>
      <c r="P12" s="19"/>
      <c r="Q12" s="19"/>
    </row>
    <row r="13" spans="1:19" ht="16.5" x14ac:dyDescent="0.15">
      <c r="A13" s="1" t="s">
        <v>47</v>
      </c>
      <c r="B13" s="8">
        <v>39.097999999999999</v>
      </c>
      <c r="C13" s="3">
        <v>1.54</v>
      </c>
      <c r="D13" s="3">
        <v>1.74</v>
      </c>
      <c r="E13" s="3">
        <v>1.8</v>
      </c>
      <c r="F13" s="3">
        <v>1.74</v>
      </c>
      <c r="G13" s="14">
        <f>10^(-0.496*1*(SQRT(C$21)/(3*0.3258*SQRT(C$21)+1)))*C13/$B13</f>
        <v>3.5986100855356418E-2</v>
      </c>
      <c r="H13" s="14">
        <f>10^(-0.496*1*(SQRT(D$21)/(3*0.3258*SQRT(D$21)+1)))*D13/$B13</f>
        <v>4.0676806110735902E-2</v>
      </c>
      <c r="I13" s="14">
        <f>10^(-0.496*1*(SQRT(E$21)/(3*0.3258*SQRT(E$21)+1)))*E13/$B13</f>
        <v>4.21037825488993E-2</v>
      </c>
      <c r="J13" s="14">
        <f>10^(-0.496*1*(SQRT(F$21)/(3*0.3258*SQRT(F$21)+1)))*F13/$B13</f>
        <v>4.0690464004070878E-2</v>
      </c>
      <c r="L13" s="18"/>
      <c r="M13" s="19"/>
      <c r="N13" s="19"/>
      <c r="O13" s="19"/>
      <c r="P13" s="19"/>
      <c r="Q13" s="19"/>
    </row>
    <row r="14" spans="1:19" ht="16.5" x14ac:dyDescent="0.15">
      <c r="A14" s="1" t="s">
        <v>36</v>
      </c>
      <c r="B14" s="8">
        <v>40.078000000000003</v>
      </c>
      <c r="C14" s="7">
        <v>81.5</v>
      </c>
      <c r="D14" s="7">
        <v>80.2</v>
      </c>
      <c r="E14" s="7">
        <v>78.7</v>
      </c>
      <c r="F14" s="7">
        <v>79.3</v>
      </c>
      <c r="G14" s="14">
        <f>10^(-0.496*1*(SQRT(C$21)/(6*0.3258*SQRT(C$21)+1)))*C14/$B14</f>
        <v>1.8699734448574146</v>
      </c>
      <c r="H14" s="14">
        <f>10^(-0.496*1*(SQRT(D$21)/(6*0.3258*SQRT(D$21)+1)))*D14/$B14</f>
        <v>1.8408160083338314</v>
      </c>
      <c r="I14" s="14">
        <f>10^(-0.496*1*(SQRT(E$21)/(6*0.3258*SQRT(E$21)+1)))*E14/$B14</f>
        <v>1.8072876060499947</v>
      </c>
      <c r="J14" s="14">
        <f>10^(-0.496*1*(SQRT(F$21)/(6*0.3258*SQRT(F$21)+1)))*F14/$B14</f>
        <v>1.8206855366203938</v>
      </c>
      <c r="L14" s="18"/>
      <c r="M14" s="19"/>
      <c r="N14" s="19"/>
      <c r="O14" s="19"/>
      <c r="P14" s="19"/>
      <c r="Q14" s="19"/>
    </row>
    <row r="15" spans="1:19" ht="16.5" x14ac:dyDescent="0.15">
      <c r="A15" s="1" t="s">
        <v>35</v>
      </c>
      <c r="B15" s="8">
        <v>24.305</v>
      </c>
      <c r="C15" s="3">
        <v>6.88</v>
      </c>
      <c r="D15" s="3">
        <v>6.77</v>
      </c>
      <c r="E15" s="3">
        <v>6.45</v>
      </c>
      <c r="F15" s="3">
        <v>6.51</v>
      </c>
      <c r="G15" s="14">
        <f>10^(-0.496*1*(SQRT(C$21)/(8*0.3258*SQRT(C$21)+1)))*C15/$B15</f>
        <v>0.26129993397196444</v>
      </c>
      <c r="H15" s="14">
        <f>10^(-0.496*1*(SQRT(D$21)/(8*0.3258*SQRT(D$21)+1)))*D15/$B15</f>
        <v>0.25720750008593357</v>
      </c>
      <c r="I15" s="14">
        <f>10^(-0.496*1*(SQRT(E$21)/(8*0.3258*SQRT(E$21)+1)))*E15/$B15</f>
        <v>0.24516135329263633</v>
      </c>
      <c r="J15" s="14">
        <f>10^(-0.496*1*(SQRT(F$21)/(8*0.3258*SQRT(F$21)+1)))*F15/$B15</f>
        <v>0.24739478061761258</v>
      </c>
      <c r="K15" s="18"/>
      <c r="L15" s="18"/>
      <c r="M15" s="19"/>
      <c r="N15" s="19"/>
      <c r="O15" s="19"/>
      <c r="P15" s="19"/>
      <c r="Q15" s="19"/>
    </row>
    <row r="16" spans="1:19" ht="16.5" x14ac:dyDescent="0.15">
      <c r="A16" s="20" t="s">
        <v>42</v>
      </c>
      <c r="B16" s="8">
        <v>55.844999999999999</v>
      </c>
      <c r="C16" s="3">
        <v>0.08</v>
      </c>
      <c r="D16" s="3">
        <v>1.28</v>
      </c>
      <c r="E16" s="3">
        <v>1.34</v>
      </c>
      <c r="F16" s="3">
        <v>1.32</v>
      </c>
      <c r="G16" s="14">
        <f>10^(-0.496*1*(SQRT(C$21)/(6*0.3258*SQRT(C$21)+1)))*C16/$B16</f>
        <v>1.3173147757986224E-3</v>
      </c>
      <c r="H16" s="14">
        <f>10^(-0.496*1*(SQRT(D$21)/(6*0.3258*SQRT(D$21)+1)))*D16/$B16</f>
        <v>2.1084714727855853E-2</v>
      </c>
      <c r="I16" s="14">
        <f>10^(-0.496*1*(SQRT(E$21)/(6*0.3258*SQRT(E$21)+1)))*E16/$B16</f>
        <v>2.2084068318262026E-2</v>
      </c>
      <c r="J16" s="14">
        <f>10^(-0.496*1*(SQRT(F$21)/(6*0.3258*SQRT(F$21)+1)))*F16/$B16</f>
        <v>2.1749908375790009E-2</v>
      </c>
      <c r="L16" s="18"/>
      <c r="M16" s="19"/>
      <c r="N16" s="19"/>
      <c r="O16" s="19"/>
      <c r="P16" s="19"/>
      <c r="Q16" s="19"/>
    </row>
    <row r="17" spans="1:13" ht="16.5" x14ac:dyDescent="0.15">
      <c r="B17" s="8"/>
      <c r="C17" s="3"/>
      <c r="D17" s="3"/>
      <c r="E17" s="3"/>
      <c r="F17" s="3"/>
    </row>
    <row r="18" spans="1:13" ht="16.5" x14ac:dyDescent="0.15">
      <c r="A18" s="35" t="s">
        <v>60</v>
      </c>
      <c r="B18" s="35"/>
      <c r="C18" s="14">
        <f>C11/$B11+C12/$B12+C13/$B13+C14/$B14*2+C15/$B15*2+C16/$B16*2</f>
        <v>5.0185430584929174</v>
      </c>
      <c r="D18" s="14">
        <f t="shared" ref="D18:F18" si="1">D11/$B11+D12/$B12+D13/$B13+D14/$B14*2+D15/$B15*2+D16/$B16*2</f>
        <v>4.9805301637103012</v>
      </c>
      <c r="E18" s="14">
        <f t="shared" si="1"/>
        <v>4.8901491519119702</v>
      </c>
      <c r="F18" s="14">
        <f t="shared" si="1"/>
        <v>4.9223421761537054</v>
      </c>
      <c r="H18" s="16"/>
      <c r="I18" s="16"/>
      <c r="J18" s="16"/>
      <c r="L18" s="18"/>
      <c r="M18" s="18"/>
    </row>
    <row r="19" spans="1:13" ht="16.5" x14ac:dyDescent="0.15">
      <c r="A19" s="2" t="s">
        <v>61</v>
      </c>
      <c r="C19" s="9">
        <f>(C9-C18)/(C9+C18)</f>
        <v>-2.2412990653532448E-2</v>
      </c>
      <c r="D19" s="9">
        <f>(D9-D18)/(D9+D18)</f>
        <v>-2.8962879961481846E-2</v>
      </c>
      <c r="E19" s="9">
        <f>(E9-E18)/(E9+E18)</f>
        <v>-2.1353931935675523E-2</v>
      </c>
      <c r="F19" s="9">
        <f>(F9-F18)/(F9+F18)</f>
        <v>-2.2491495185384E-2</v>
      </c>
      <c r="L19" s="18"/>
      <c r="M19" s="18"/>
    </row>
    <row r="21" spans="1:13" ht="16.5" x14ac:dyDescent="0.15">
      <c r="A21" s="12" t="s">
        <v>64</v>
      </c>
      <c r="B21" s="12"/>
      <c r="C21" s="31">
        <f>0.5*10^(-3)*(C3/$B3+C4/$B4+C5/$B5+C7/$B7*4+C6/$B6+C11/$B11+C12/$B12+C13/$B13+C14/$B14*4+C15/$B15*4+C16/$B16*4)</f>
        <v>7.3483598037516178E-3</v>
      </c>
      <c r="D21" s="31">
        <f>0.5*10^(-3)*(D3/$B3+D4/$B4+D5/$B5+D7/$B7*4+D6/$B6+D11/$B11+D12/$B12+D13/$B13+D14/$B14*4+D15/$B15*4+D16/$B16*4)</f>
        <v>7.2740658541302489E-3</v>
      </c>
      <c r="E21" s="31">
        <f>0.5*10^(-3)*(E3/$B3+E4/$B4+E5/$B5+E7/$B7*4+E6/$B6+E11/$B11+E12/$B12+E13/$B13+E14/$B14*4+E15/$B15*4+E16/$B16*4)</f>
        <v>7.1731567096331101E-3</v>
      </c>
      <c r="F21" s="31">
        <f>0.5*10^(-3)*(F3/$B3+F4/$B4+F5/$B5+F7/$B7*4+F6/$B6+F11/$B11+F12/$B12+F13/$B13+F14/$B14*4+F15/$B15*4+F16/$B16*4)</f>
        <v>7.2153551666071158E-3</v>
      </c>
    </row>
    <row r="23" spans="1:13" ht="16.5" x14ac:dyDescent="0.15">
      <c r="A23" s="13"/>
      <c r="B23" s="16"/>
      <c r="C23" s="13"/>
      <c r="D23" s="13"/>
      <c r="E23" s="13"/>
      <c r="F23" s="13"/>
      <c r="G23" s="13"/>
      <c r="H23" s="13"/>
      <c r="I23" s="13"/>
      <c r="L23" s="13"/>
    </row>
    <row r="24" spans="1:13" ht="16.5" x14ac:dyDescent="0.15">
      <c r="C24" s="13"/>
      <c r="D24" s="16"/>
      <c r="E24" s="16"/>
      <c r="F24" s="16"/>
      <c r="G24" s="16"/>
      <c r="H24" s="16"/>
      <c r="I24" s="16"/>
      <c r="L24" s="13"/>
    </row>
    <row r="25" spans="1:13" ht="16.5" x14ac:dyDescent="0.15">
      <c r="C25" s="13"/>
      <c r="D25" s="16"/>
      <c r="E25" s="16"/>
      <c r="F25" s="16"/>
      <c r="G25" s="16"/>
      <c r="H25" s="16"/>
      <c r="I25" s="16"/>
    </row>
    <row r="26" spans="1:13" ht="16.5" x14ac:dyDescent="0.15">
      <c r="C26" s="13"/>
      <c r="D26" s="16"/>
      <c r="E26" s="16"/>
      <c r="F26" s="16"/>
      <c r="G26" s="16"/>
      <c r="H26" s="16"/>
      <c r="I26" s="16"/>
    </row>
    <row r="27" spans="1:13" ht="16.5" x14ac:dyDescent="0.15">
      <c r="C27" s="13"/>
      <c r="D27" s="16"/>
      <c r="E27" s="16"/>
      <c r="F27" s="16"/>
      <c r="G27" s="16"/>
      <c r="H27" s="16"/>
      <c r="I27" s="16"/>
    </row>
    <row r="28" spans="1:13" ht="16.5" x14ac:dyDescent="0.15">
      <c r="C28" s="13"/>
      <c r="D28" s="16"/>
      <c r="E28" s="16"/>
      <c r="F28" s="16"/>
      <c r="G28" s="16"/>
      <c r="H28" s="16"/>
      <c r="I28" s="16"/>
    </row>
    <row r="29" spans="1:13" ht="16.5" x14ac:dyDescent="0.15">
      <c r="C29" s="13"/>
      <c r="D29" s="16"/>
      <c r="E29" s="16"/>
      <c r="F29" s="16"/>
      <c r="G29" s="16"/>
      <c r="H29" s="16"/>
      <c r="I29" s="16"/>
    </row>
    <row r="30" spans="1:13" ht="16.5" x14ac:dyDescent="0.15">
      <c r="G30" s="16"/>
    </row>
    <row r="31" spans="1:13" ht="16.5" x14ac:dyDescent="0.15">
      <c r="C31" s="16"/>
      <c r="D31" s="16"/>
      <c r="E31" s="16"/>
      <c r="F31" s="16"/>
    </row>
  </sheetData>
  <mergeCells count="2">
    <mergeCell ref="A9:B9"/>
    <mergeCell ref="A18:B18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5" zoomScaleNormal="85" workbookViewId="0">
      <selection activeCell="L17" sqref="L17"/>
    </sheetView>
  </sheetViews>
  <sheetFormatPr defaultRowHeight="13.5" x14ac:dyDescent="0.15"/>
  <cols>
    <col min="1" max="1" width="19.125" bestFit="1" customWidth="1"/>
    <col min="2" max="2" width="18.375" bestFit="1" customWidth="1"/>
    <col min="3" max="3" width="9" bestFit="1" customWidth="1"/>
    <col min="4" max="4" width="9.125" bestFit="1" customWidth="1"/>
    <col min="5" max="6" width="9" bestFit="1" customWidth="1"/>
    <col min="7" max="10" width="10.75" bestFit="1" customWidth="1"/>
  </cols>
  <sheetData>
    <row r="1" spans="1:10" ht="16.5" x14ac:dyDescent="0.15">
      <c r="B1" s="20" t="s">
        <v>54</v>
      </c>
      <c r="C1" s="20" t="s">
        <v>55</v>
      </c>
      <c r="D1" s="20" t="s">
        <v>56</v>
      </c>
      <c r="E1" s="20" t="s">
        <v>57</v>
      </c>
      <c r="F1" s="20" t="s">
        <v>58</v>
      </c>
      <c r="G1" s="20" t="s">
        <v>65</v>
      </c>
      <c r="H1" s="20" t="s">
        <v>66</v>
      </c>
      <c r="I1" s="20" t="s">
        <v>67</v>
      </c>
      <c r="J1" s="20" t="s">
        <v>68</v>
      </c>
    </row>
    <row r="2" spans="1:10" ht="16.5" x14ac:dyDescent="0.15">
      <c r="A2" s="10" t="s">
        <v>39</v>
      </c>
      <c r="B2" s="10"/>
      <c r="C2" s="10"/>
      <c r="D2" s="10"/>
      <c r="E2" s="10"/>
      <c r="F2" s="10"/>
    </row>
    <row r="3" spans="1:10" ht="16.5" x14ac:dyDescent="0.15">
      <c r="A3" s="20" t="s">
        <v>5</v>
      </c>
      <c r="B3" s="8">
        <v>35.453000000000003</v>
      </c>
      <c r="C3" s="3">
        <v>8.4600000000000009</v>
      </c>
      <c r="D3" s="3">
        <v>8.35</v>
      </c>
      <c r="E3" s="3">
        <v>8.4600000000000009</v>
      </c>
      <c r="F3" s="3">
        <v>8.5500000000000007</v>
      </c>
      <c r="G3" s="14">
        <f>10^(-0.496*1*SQRT(C$17)/(3*0.3258*(SQRT(C$17)+1)))*C3/$B3</f>
        <v>0.21759578479065511</v>
      </c>
      <c r="H3" s="14">
        <f>10^(-0.496*1*SQRT(D$17)/(3*0.3258*(SQRT(D$17)+1)))*D3/$B3</f>
        <v>0.21485906984337116</v>
      </c>
      <c r="I3" s="14">
        <f>10^(-0.496*1*SQRT(E$17)/(3*0.3258*(SQRT(E$17)+1)))*E3/$B3</f>
        <v>0.21781785966209571</v>
      </c>
      <c r="J3" s="14">
        <f>10^(-0.496*1*SQRT(F$17)/(3*0.3258*(SQRT(F$17)+1)))*F3/$B3</f>
        <v>0.22008070582388983</v>
      </c>
    </row>
    <row r="4" spans="1:10" ht="16.5" x14ac:dyDescent="0.15">
      <c r="A4" s="20" t="s">
        <v>7</v>
      </c>
      <c r="B4" s="8">
        <v>46.006</v>
      </c>
      <c r="C4" s="4">
        <v>0.01</v>
      </c>
      <c r="D4" s="4">
        <v>0.01</v>
      </c>
      <c r="E4" s="4">
        <v>0.01</v>
      </c>
      <c r="F4" s="4">
        <v>0.01</v>
      </c>
      <c r="G4" s="14">
        <f>10^(-0.496*1*SQRT(C$17)/(3*0.3258*(SQRT(C$17)+1)))*C4/$B4</f>
        <v>1.9820683678383136E-4</v>
      </c>
      <c r="H4" s="14">
        <f t="shared" ref="H4:J5" si="0">10^(-0.496*1*(SQRT(D$17)/(SQRT(D$17)+1)-0.3*D$17))*D4/$B4</f>
        <v>1.9920002826042538E-4</v>
      </c>
      <c r="I4" s="14">
        <f t="shared" si="0"/>
        <v>1.993078959020002E-4</v>
      </c>
      <c r="J4" s="14">
        <f t="shared" si="0"/>
        <v>1.9926266756085351E-4</v>
      </c>
    </row>
    <row r="5" spans="1:10" ht="16.5" x14ac:dyDescent="0.15">
      <c r="A5" s="20" t="s">
        <v>8</v>
      </c>
      <c r="B5" s="8">
        <v>62.005000000000003</v>
      </c>
      <c r="C5" s="3">
        <v>0.36</v>
      </c>
      <c r="D5" s="4">
        <v>0.1</v>
      </c>
      <c r="E5" s="4">
        <v>0.1</v>
      </c>
      <c r="F5" s="4">
        <v>0.1</v>
      </c>
      <c r="G5" s="14">
        <f>10^(-0.496*1*SQRT(C$17)/(3*0.3258*(SQRT(C$17)+1)))*C5/$B5</f>
        <v>5.2943042398317878E-3</v>
      </c>
      <c r="H5" s="14">
        <f t="shared" si="0"/>
        <v>1.4780092734697412E-3</v>
      </c>
      <c r="I5" s="14">
        <f t="shared" si="0"/>
        <v>1.4788096216220338E-3</v>
      </c>
      <c r="J5" s="14">
        <f t="shared" si="0"/>
        <v>1.4784740398039878E-3</v>
      </c>
    </row>
    <row r="6" spans="1:10" ht="16.5" x14ac:dyDescent="0.15">
      <c r="A6" s="20" t="s">
        <v>62</v>
      </c>
      <c r="B6" s="8">
        <v>61.017000000000003</v>
      </c>
      <c r="C6" s="5">
        <v>263</v>
      </c>
      <c r="D6" s="7">
        <v>256.3</v>
      </c>
      <c r="E6" s="7">
        <v>255.1</v>
      </c>
      <c r="F6" s="7">
        <v>256.3</v>
      </c>
      <c r="G6" s="14">
        <f>10^(-0.496*1*SQRT(C$17)/(4.25*0.3258*(SQRT(C$17)+1)))*C6/$B6</f>
        <v>4.0385213562175677</v>
      </c>
      <c r="H6" s="14">
        <f>10^(-0.496*1*SQRT(D$17)/(4.25*0.3258*(SQRT(D$17)+1)))*D6/$B6</f>
        <v>3.9368359024909538</v>
      </c>
      <c r="I6" s="14">
        <f>10^(-0.496*1*SQRT(E$17)/(4.25*0.3258*(SQRT(E$17)+1)))*E6/$B6</f>
        <v>3.9200337450038547</v>
      </c>
      <c r="J6" s="14">
        <f>10^(-0.496*1*SQRT(F$17)/(4.25*0.3258*(SQRT(F$17)+1)))*F6/$B6</f>
        <v>3.9377871260499053</v>
      </c>
    </row>
    <row r="7" spans="1:10" ht="16.5" x14ac:dyDescent="0.15">
      <c r="A7" s="20" t="s">
        <v>9</v>
      </c>
      <c r="B7" s="8">
        <v>96.063000000000002</v>
      </c>
      <c r="C7" s="7">
        <v>11.7</v>
      </c>
      <c r="D7" s="3">
        <v>12.6</v>
      </c>
      <c r="E7" s="7">
        <v>12.7</v>
      </c>
      <c r="F7" s="7">
        <v>12.6</v>
      </c>
      <c r="G7" s="14">
        <f>10^(-0.496*1*SQRT(C$17)/(4*0.3258*(SQRT(C$17)+1)))*C7/$B7</f>
        <v>0.11365264456417011</v>
      </c>
      <c r="H7" s="14">
        <f>10^(-0.496*1*SQRT(D$17)/(4*0.3258*(SQRT(D$17)+1)))*D7/$B7</f>
        <v>0.12243470936529398</v>
      </c>
      <c r="I7" s="14">
        <f>10^(-0.496*1*SQRT(E$17)/(4*0.3258*(SQRT(E$17)+1)))*E7/$B7</f>
        <v>0.12346096324992632</v>
      </c>
      <c r="J7" s="14">
        <f>10^(-0.496*1*SQRT(F$17)/(4*0.3258*(SQRT(F$17)+1)))*F7/$B7</f>
        <v>0.12246614136831797</v>
      </c>
    </row>
    <row r="8" spans="1:10" ht="16.5" x14ac:dyDescent="0.15">
      <c r="A8" s="20" t="s">
        <v>86</v>
      </c>
      <c r="B8" s="8" t="s">
        <v>98</v>
      </c>
      <c r="C8" s="22" t="s">
        <v>87</v>
      </c>
      <c r="D8" s="24">
        <f>10^-10.49</f>
        <v>3.2359365692962733E-11</v>
      </c>
      <c r="E8" s="23" t="s">
        <v>88</v>
      </c>
      <c r="F8" s="25">
        <v>7.4</v>
      </c>
      <c r="G8" s="16">
        <f>$D$8*G6/10^-$F$8</f>
        <v>3.2826333985140669E-3</v>
      </c>
      <c r="H8" s="16">
        <f t="shared" ref="H8:J8" si="1">$D$8*H6/10^-$F$8</f>
        <v>3.1999803586750825E-3</v>
      </c>
      <c r="I8" s="16">
        <f t="shared" si="1"/>
        <v>3.1863230523321733E-3</v>
      </c>
      <c r="J8" s="16">
        <f t="shared" si="1"/>
        <v>3.2007535422114925E-3</v>
      </c>
    </row>
    <row r="9" spans="1:10" ht="16.5" x14ac:dyDescent="0.15">
      <c r="A9" s="27"/>
      <c r="B9" s="8"/>
      <c r="C9" s="29"/>
      <c r="D9" s="24"/>
      <c r="E9" s="23"/>
      <c r="F9" s="25"/>
      <c r="G9" s="16"/>
      <c r="H9" s="16"/>
      <c r="I9" s="16"/>
      <c r="J9" s="16"/>
    </row>
    <row r="10" spans="1:10" ht="16.5" x14ac:dyDescent="0.15">
      <c r="A10" s="11" t="s">
        <v>40</v>
      </c>
      <c r="B10" s="11"/>
      <c r="C10" s="11"/>
      <c r="D10" s="11"/>
      <c r="E10" s="11"/>
      <c r="F10" s="11"/>
      <c r="G10" s="15"/>
      <c r="H10" s="15"/>
      <c r="I10" s="15"/>
      <c r="J10" s="15"/>
    </row>
    <row r="11" spans="1:10" ht="16.5" x14ac:dyDescent="0.15">
      <c r="A11" s="20" t="s">
        <v>33</v>
      </c>
      <c r="B11" s="8">
        <v>22.99</v>
      </c>
      <c r="C11" s="3">
        <v>7.76</v>
      </c>
      <c r="D11" s="3">
        <v>7.48</v>
      </c>
      <c r="E11" s="3">
        <v>7.58</v>
      </c>
      <c r="F11" s="3">
        <v>7.57</v>
      </c>
      <c r="G11" s="14">
        <f>10^(-0.496*1*(SQRT(C$17)/(4.25*0.3258*SQRT(C$17)+1)))*C11/$B11</f>
        <v>0.30925422121996027</v>
      </c>
      <c r="H11" s="14">
        <f>10^(-0.496*1*(SQRT(D$17)/(4.25*0.3258*SQRT(D$17)+1)))*D11/$B11</f>
        <v>0.29821383488813058</v>
      </c>
      <c r="I11" s="14">
        <f>10^(-0.496*1*(SQRT(E$17)/(4.25*0.3258*SQRT(E$17)+1)))*E11/$B11</f>
        <v>0.30236470954092415</v>
      </c>
      <c r="J11" s="14">
        <f>10^(-0.496*1*(SQRT(F$17)/(4.25*0.3258*SQRT(F$17)+1)))*F11/$B11</f>
        <v>0.30189711605871183</v>
      </c>
    </row>
    <row r="12" spans="1:10" ht="16.5" x14ac:dyDescent="0.15">
      <c r="A12" s="20" t="s">
        <v>34</v>
      </c>
      <c r="B12" s="8">
        <v>18.038</v>
      </c>
      <c r="C12" s="4">
        <v>0.1</v>
      </c>
      <c r="D12" s="4">
        <v>0.1</v>
      </c>
      <c r="E12" s="4">
        <v>0.15</v>
      </c>
      <c r="F12" s="4">
        <v>0.15</v>
      </c>
      <c r="G12" s="14">
        <f>10^(-0.496*1*(SQRT(C$17)/(2*0.3258*SQRT(C$17)+1)))*C12/$B12</f>
        <v>5.0529211856557843E-3</v>
      </c>
      <c r="H12" s="14">
        <f>10^(-0.496*1*(SQRT(D$17)/(2*0.3258*SQRT(D$17)+1)))*D12/$B12</f>
        <v>5.0551711367974976E-3</v>
      </c>
      <c r="I12" s="14">
        <f>10^(-0.496*1*(SQRT(E$17)/(2*0.3258*SQRT(E$17)+1)))*E12/$B12</f>
        <v>7.5873737562930739E-3</v>
      </c>
      <c r="J12" s="14">
        <f>10^(-0.496*1*(SQRT(F$17)/(2*0.3258*SQRT(F$17)+1)))*F12/$B12</f>
        <v>7.5854383059576055E-3</v>
      </c>
    </row>
    <row r="13" spans="1:10" ht="16.5" x14ac:dyDescent="0.15">
      <c r="A13" s="20" t="s">
        <v>47</v>
      </c>
      <c r="B13" s="8">
        <v>39.097999999999999</v>
      </c>
      <c r="C13" s="3">
        <v>1.54</v>
      </c>
      <c r="D13" s="3">
        <v>1.74</v>
      </c>
      <c r="E13" s="3">
        <v>1.8</v>
      </c>
      <c r="F13" s="3">
        <v>1.74</v>
      </c>
      <c r="G13" s="14">
        <f>10^(-0.496*1*(SQRT(C$17)/(3*0.3258*SQRT(C$17)+1)))*C13/$B13</f>
        <v>3.5986100855356418E-2</v>
      </c>
      <c r="H13" s="14">
        <f>10^(-0.496*1*(SQRT(D$17)/(3*0.3258*SQRT(D$17)+1)))*D13/$B13</f>
        <v>4.0676806110735902E-2</v>
      </c>
      <c r="I13" s="14">
        <f>10^(-0.496*1*(SQRT(E$17)/(3*0.3258*SQRT(E$17)+1)))*E13/$B13</f>
        <v>4.21037825488993E-2</v>
      </c>
      <c r="J13" s="14">
        <f>10^(-0.496*1*(SQRT(F$17)/(3*0.3258*SQRT(F$17)+1)))*F13/$B13</f>
        <v>4.0690464004070878E-2</v>
      </c>
    </row>
    <row r="14" spans="1:10" ht="16.5" x14ac:dyDescent="0.15">
      <c r="A14" s="20" t="s">
        <v>36</v>
      </c>
      <c r="B14" s="8">
        <v>40.078000000000003</v>
      </c>
      <c r="C14" s="7">
        <v>81.5</v>
      </c>
      <c r="D14" s="7">
        <v>80.2</v>
      </c>
      <c r="E14" s="7">
        <v>78.7</v>
      </c>
      <c r="F14" s="7">
        <v>79.3</v>
      </c>
      <c r="G14" s="14">
        <f>10^(-0.496*1*(SQRT(C$17)/(6*0.3258*SQRT(C$17)+1)))*C14/$B14</f>
        <v>1.8699734448574146</v>
      </c>
      <c r="H14" s="14">
        <f>10^(-0.496*1*(SQRT(D$17)/(6*0.3258*SQRT(D$17)+1)))*D14/$B14</f>
        <v>1.8408160083338314</v>
      </c>
      <c r="I14" s="14">
        <f>10^(-0.496*1*(SQRT(E$17)/(6*0.3258*SQRT(E$17)+1)))*E14/$B14</f>
        <v>1.8072876060499947</v>
      </c>
      <c r="J14" s="14">
        <f>10^(-0.496*1*(SQRT(F$17)/(6*0.3258*SQRT(F$17)+1)))*F14/$B14</f>
        <v>1.8206855366203938</v>
      </c>
    </row>
    <row r="15" spans="1:10" ht="16.5" x14ac:dyDescent="0.15">
      <c r="A15" s="20" t="s">
        <v>35</v>
      </c>
      <c r="B15" s="8">
        <v>24.305</v>
      </c>
      <c r="C15" s="3">
        <v>6.88</v>
      </c>
      <c r="D15" s="3">
        <v>6.77</v>
      </c>
      <c r="E15" s="3">
        <v>6.45</v>
      </c>
      <c r="F15" s="3">
        <v>6.51</v>
      </c>
      <c r="G15" s="14">
        <f>10^(-0.496*1*(SQRT(C$17)/(8*0.3258*SQRT(C$17)+1)))*C15/$B15</f>
        <v>0.26129993397196444</v>
      </c>
      <c r="H15" s="14">
        <f>10^(-0.496*1*(SQRT(D$17)/(8*0.3258*SQRT(D$17)+1)))*D15/$B15</f>
        <v>0.25720750008593357</v>
      </c>
      <c r="I15" s="14">
        <f>10^(-0.496*1*(SQRT(E$17)/(8*0.3258*SQRT(E$17)+1)))*E15/$B15</f>
        <v>0.24516135329263633</v>
      </c>
      <c r="J15" s="14">
        <f>10^(-0.496*1*(SQRT(F$17)/(8*0.3258*SQRT(F$17)+1)))*F15/$B15</f>
        <v>0.24739478061761258</v>
      </c>
    </row>
    <row r="16" spans="1:10" ht="16.5" x14ac:dyDescent="0.15">
      <c r="A16" s="20" t="s">
        <v>42</v>
      </c>
      <c r="B16" s="8">
        <v>55.844999999999999</v>
      </c>
      <c r="C16" s="3">
        <v>0.08</v>
      </c>
      <c r="D16" s="3">
        <v>1.28</v>
      </c>
      <c r="E16" s="3">
        <v>1.34</v>
      </c>
      <c r="F16" s="3">
        <v>1.32</v>
      </c>
      <c r="G16" s="14">
        <f>10^(-0.496*1*(SQRT(C$17)/(6*0.3258*SQRT(C$17)+1)))*C16/$B16</f>
        <v>1.3173147757986224E-3</v>
      </c>
      <c r="H16" s="14">
        <f>10^(-0.496*1*(SQRT(D$17)/(6*0.3258*SQRT(D$17)+1)))*D16/$B16</f>
        <v>2.1084714727855853E-2</v>
      </c>
      <c r="I16" s="14">
        <f>10^(-0.496*1*(SQRT(E$17)/(6*0.3258*SQRT(E$17)+1)))*E16/$B16</f>
        <v>2.2084068318262026E-2</v>
      </c>
      <c r="J16" s="14">
        <f>10^(-0.496*1*(SQRT(F$17)/(6*0.3258*SQRT(F$17)+1)))*F16/$B16</f>
        <v>2.1749908375790009E-2</v>
      </c>
    </row>
    <row r="17" spans="1:18" ht="16.5" x14ac:dyDescent="0.15">
      <c r="A17" s="20" t="s">
        <v>64</v>
      </c>
      <c r="B17" s="20"/>
      <c r="C17" s="26">
        <f>0.5*10^(-3)*(C3/$B3+C4/$B4+C5/$B5+C7/$B7*4+C6/$B6+C11/$B11+C12/$B12+C13/$B13+C14/$B14*4+C15/$B15*4+C16/$B16*4)</f>
        <v>7.3483598037516178E-3</v>
      </c>
      <c r="D17" s="26">
        <f>0.5*10^(-3)*(D3/$B3+D4/$B4+D5/$B5+D7/$B7*4+D6/$B6+D11/$B11+D12/$B12+D13/$B13+D14/$B14*4+D15/$B15*4+D16/$B16*4)</f>
        <v>7.2740658541302489E-3</v>
      </c>
      <c r="E17" s="26">
        <f>0.5*10^(-3)*(E3/$B3+E4/$B4+E5/$B5+E7/$B7*4+E6/$B6+E11/$B11+E12/$B12+E13/$B13+E14/$B14*4+E15/$B15*4+E16/$B16*4)</f>
        <v>7.1731567096331101E-3</v>
      </c>
      <c r="F17" s="26">
        <f>0.5*10^(-3)*(F3/$B3+F4/$B4+F5/$B5+F7/$B7*4+F6/$B6+F11/$B11+F12/$B12+F13/$B13+F14/$B14*4+F15/$B15*4+F16/$B16*4)</f>
        <v>7.2153551666071158E-3</v>
      </c>
    </row>
    <row r="19" spans="1:18" ht="16.5" x14ac:dyDescent="0.15">
      <c r="A19" s="20" t="s">
        <v>84</v>
      </c>
      <c r="B19" s="20" t="s">
        <v>85</v>
      </c>
      <c r="C19" s="20" t="s">
        <v>69</v>
      </c>
      <c r="D19" s="20" t="s">
        <v>70</v>
      </c>
      <c r="E19" s="20" t="s">
        <v>71</v>
      </c>
      <c r="F19" s="20" t="s">
        <v>72</v>
      </c>
    </row>
    <row r="20" spans="1:18" ht="16.5" x14ac:dyDescent="0.15">
      <c r="A20" s="20" t="s">
        <v>73</v>
      </c>
      <c r="B20" s="16">
        <f>10^-8.36</f>
        <v>4.3651583224016521E-9</v>
      </c>
      <c r="C20" s="17">
        <f>LOG(G14*G8/$B20/1000000)</f>
        <v>0.14805782307390775</v>
      </c>
      <c r="D20" s="17">
        <f t="shared" ref="D20:F20" si="2">LOG(H14*H8/$B20/1000000)</f>
        <v>0.13015769509239444</v>
      </c>
      <c r="E20" s="17">
        <f t="shared" si="2"/>
        <v>0.12031707590827534</v>
      </c>
      <c r="F20" s="17">
        <f t="shared" si="2"/>
        <v>0.12548717701157239</v>
      </c>
    </row>
    <row r="21" spans="1:18" ht="16.5" x14ac:dyDescent="0.15">
      <c r="A21" s="20" t="s">
        <v>74</v>
      </c>
      <c r="B21" s="16">
        <f>2.6*10^-5</f>
        <v>2.6000000000000002E-5</v>
      </c>
      <c r="C21" s="17">
        <f>LOG(G15*G8/$B21/1000000)</f>
        <v>-4.4816116641574109</v>
      </c>
      <c r="D21" s="17">
        <f t="shared" ref="D21:F21" si="3">LOG(H15*H8/$B21/1000000)</f>
        <v>-4.4995424070005043</v>
      </c>
      <c r="E21" s="17">
        <f t="shared" si="3"/>
        <v>-4.5222315323817179</v>
      </c>
      <c r="F21" s="17">
        <f t="shared" si="3"/>
        <v>-4.5163305802697877</v>
      </c>
    </row>
    <row r="22" spans="1:18" ht="16.5" x14ac:dyDescent="0.15">
      <c r="A22" s="20" t="s">
        <v>76</v>
      </c>
      <c r="B22" s="16">
        <f>6.1*10^-5</f>
        <v>6.0999999999999999E-5</v>
      </c>
      <c r="C22" s="17">
        <f>LOG(G14*G7/$B22/1000000)</f>
        <v>-2.4579148500616257</v>
      </c>
      <c r="D22" s="17">
        <f t="shared" ref="D22:F22" si="4">LOG(H14*H7/$B22/1000000)</f>
        <v>-2.432414897920796</v>
      </c>
      <c r="E22" s="17">
        <f t="shared" si="4"/>
        <v>-2.4367729036596724</v>
      </c>
      <c r="F22" s="17">
        <f t="shared" si="4"/>
        <v>-2.437078858367951</v>
      </c>
    </row>
    <row r="23" spans="1:18" ht="16.5" x14ac:dyDescent="0.15">
      <c r="A23" s="20" t="s">
        <v>75</v>
      </c>
      <c r="B23" s="16">
        <f>2*10^-11</f>
        <v>1.9999999999999999E-11</v>
      </c>
      <c r="C23" s="17">
        <f>LOG(G16*G8/$B23/1000000)</f>
        <v>-0.66511804867504498</v>
      </c>
      <c r="D23" s="17">
        <f t="shared" ref="D23:F23" si="5">LOG(H16*H8/$B23/1000000)</f>
        <v>0.52808504645517951</v>
      </c>
      <c r="E23" s="17">
        <f t="shared" si="5"/>
        <v>0.5463388919130987</v>
      </c>
      <c r="F23" s="17">
        <f t="shared" si="5"/>
        <v>0.54167967089889879</v>
      </c>
    </row>
    <row r="24" spans="1:18" ht="16.5" x14ac:dyDescent="0.15">
      <c r="A24" s="20" t="s">
        <v>77</v>
      </c>
      <c r="B24" s="16">
        <f>1.64*10^-14</f>
        <v>1.6399999999999998E-14</v>
      </c>
      <c r="C24" s="17">
        <f>LOG(G16*(10^(LOG(0.292*10^-14)+$F8))^2/$B24/1000000)</f>
        <v>-9.3643885819901254</v>
      </c>
      <c r="D24" s="17">
        <f t="shared" ref="D24:F24" si="6">LOG(H16*(10^(LOG(0.292*10^-14)+$F8))^2/$B24/1000000)</f>
        <v>-8.1601104156812312</v>
      </c>
      <c r="E24" s="17">
        <f t="shared" si="6"/>
        <v>-8.1399990631671724</v>
      </c>
      <c r="F24" s="17">
        <f t="shared" si="6"/>
        <v>-8.1466207133761905</v>
      </c>
      <c r="M24" s="20"/>
      <c r="N24" s="8"/>
      <c r="O24" s="3"/>
      <c r="P24" s="3"/>
      <c r="Q24" s="3"/>
      <c r="R24" s="3"/>
    </row>
    <row r="25" spans="1:18" ht="16.5" x14ac:dyDescent="0.15">
      <c r="A25" s="20"/>
      <c r="B25" s="16"/>
      <c r="C25" s="1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85" zoomScaleNormal="85" workbookViewId="0">
      <selection activeCell="C25" sqref="C25:F25"/>
    </sheetView>
  </sheetViews>
  <sheetFormatPr defaultRowHeight="13.5" x14ac:dyDescent="0.15"/>
  <cols>
    <col min="1" max="1" width="19.125" bestFit="1" customWidth="1"/>
    <col min="2" max="2" width="18.375" bestFit="1" customWidth="1"/>
    <col min="4" max="4" width="9.125" bestFit="1" customWidth="1"/>
    <col min="7" max="10" width="10.75" bestFit="1" customWidth="1"/>
    <col min="11" max="11" width="12.75" bestFit="1" customWidth="1"/>
    <col min="12" max="12" width="9.25" bestFit="1" customWidth="1"/>
    <col min="14" max="14" width="9.5" bestFit="1" customWidth="1"/>
  </cols>
  <sheetData>
    <row r="1" spans="1:10" ht="16.5" x14ac:dyDescent="0.15">
      <c r="B1" s="21" t="s">
        <v>54</v>
      </c>
      <c r="C1" s="21" t="s">
        <v>55</v>
      </c>
      <c r="D1" s="21" t="s">
        <v>56</v>
      </c>
      <c r="E1" s="21" t="s">
        <v>57</v>
      </c>
      <c r="F1" s="21" t="s">
        <v>58</v>
      </c>
      <c r="G1" s="21" t="s">
        <v>65</v>
      </c>
      <c r="H1" s="21" t="s">
        <v>66</v>
      </c>
      <c r="I1" s="21" t="s">
        <v>67</v>
      </c>
      <c r="J1" s="21" t="s">
        <v>68</v>
      </c>
    </row>
    <row r="2" spans="1:10" ht="16.5" x14ac:dyDescent="0.15">
      <c r="A2" s="10" t="s">
        <v>39</v>
      </c>
      <c r="B2" s="10"/>
      <c r="C2" s="10"/>
      <c r="D2" s="10"/>
      <c r="E2" s="10"/>
      <c r="F2" s="10"/>
    </row>
    <row r="3" spans="1:10" ht="16.5" x14ac:dyDescent="0.15">
      <c r="A3" s="21" t="s">
        <v>5</v>
      </c>
      <c r="B3" s="8">
        <v>35.453000000000003</v>
      </c>
      <c r="C3" s="3">
        <v>8.4600000000000009</v>
      </c>
      <c r="D3" s="3">
        <v>8.35</v>
      </c>
      <c r="E3" s="3">
        <v>8.4600000000000009</v>
      </c>
      <c r="F3" s="3">
        <v>8.5500000000000007</v>
      </c>
      <c r="G3" s="14">
        <f>10^(-0.496*1*SQRT(C$16)/(3*0.3258*(SQRT(C$16)+1)))*C3/$B3</f>
        <v>0.21759578479065511</v>
      </c>
      <c r="H3" s="14">
        <f>10^(-0.496*1*SQRT(D$16)/(3*0.3258*(SQRT(D$16)+1)))*D3/$B3</f>
        <v>0.21485906984337116</v>
      </c>
      <c r="I3" s="14">
        <f>10^(-0.496*1*SQRT(E$16)/(3*0.3258*(SQRT(E$16)+1)))*E3/$B3</f>
        <v>0.21781785966209571</v>
      </c>
      <c r="J3" s="14">
        <f>10^(-0.496*1*SQRT(F$16)/(3*0.3258*(SQRT(F$16)+1)))*F3/$B3</f>
        <v>0.22008070582388983</v>
      </c>
    </row>
    <row r="4" spans="1:10" ht="16.5" x14ac:dyDescent="0.15">
      <c r="A4" s="21" t="s">
        <v>7</v>
      </c>
      <c r="B4" s="8">
        <v>46.006</v>
      </c>
      <c r="C4" s="4">
        <v>0.01</v>
      </c>
      <c r="D4" s="4">
        <v>0.01</v>
      </c>
      <c r="E4" s="4">
        <v>0.01</v>
      </c>
      <c r="F4" s="4">
        <v>0.01</v>
      </c>
      <c r="G4" s="14">
        <f>10^(-0.496*1*SQRT(C$16)/(3*0.3258*(SQRT(C$16)+1)))*C4/$B4</f>
        <v>1.9820683678383136E-4</v>
      </c>
      <c r="H4" s="14">
        <f t="shared" ref="H4:J5" si="0">10^(-0.496*1*(SQRT(D$16)/(SQRT(D$16)+1)-0.3*D$16))*D4/$B4</f>
        <v>1.9920002826042538E-4</v>
      </c>
      <c r="I4" s="14">
        <f t="shared" si="0"/>
        <v>1.993078959020002E-4</v>
      </c>
      <c r="J4" s="14">
        <f t="shared" si="0"/>
        <v>1.9926266756085351E-4</v>
      </c>
    </row>
    <row r="5" spans="1:10" ht="16.5" x14ac:dyDescent="0.15">
      <c r="A5" s="21" t="s">
        <v>8</v>
      </c>
      <c r="B5" s="8">
        <v>62.005000000000003</v>
      </c>
      <c r="C5" s="3">
        <v>0.36</v>
      </c>
      <c r="D5" s="4">
        <v>0.1</v>
      </c>
      <c r="E5" s="4">
        <v>0.1</v>
      </c>
      <c r="F5" s="4">
        <v>0.1</v>
      </c>
      <c r="G5" s="14">
        <f>10^(-0.496*1*SQRT(C$16)/(3*0.3258*(SQRT(C$16)+1)))*C5/$B5</f>
        <v>5.2943042398317878E-3</v>
      </c>
      <c r="H5" s="14">
        <f t="shared" si="0"/>
        <v>1.4780092734697412E-3</v>
      </c>
      <c r="I5" s="14">
        <f t="shared" si="0"/>
        <v>1.4788096216220338E-3</v>
      </c>
      <c r="J5" s="14">
        <f t="shared" si="0"/>
        <v>1.4784740398039878E-3</v>
      </c>
    </row>
    <row r="6" spans="1:10" ht="16.5" x14ac:dyDescent="0.15">
      <c r="A6" s="21" t="s">
        <v>62</v>
      </c>
      <c r="B6" s="8">
        <v>61.017000000000003</v>
      </c>
      <c r="C6" s="5">
        <v>263</v>
      </c>
      <c r="D6" s="7">
        <v>256.3</v>
      </c>
      <c r="E6" s="7">
        <v>255.1</v>
      </c>
      <c r="F6" s="7">
        <v>256.3</v>
      </c>
      <c r="G6" s="14">
        <f>10^(-0.496*1*SQRT(C$16)/(4.25*0.3258*(SQRT(C$16)+1)))*C6/$B6</f>
        <v>4.0385213562175677</v>
      </c>
      <c r="H6" s="14">
        <f>10^(-0.496*1*SQRT(D$16)/(4.25*0.3258*(SQRT(D$16)+1)))*D6/$B6</f>
        <v>3.9368359024909538</v>
      </c>
      <c r="I6" s="14">
        <f>10^(-0.496*1*SQRT(E$16)/(4.25*0.3258*(SQRT(E$16)+1)))*E6/$B6</f>
        <v>3.9200337450038547</v>
      </c>
      <c r="J6" s="14">
        <f>10^(-0.496*1*SQRT(F$16)/(4.25*0.3258*(SQRT(F$16)+1)))*F6/$B6</f>
        <v>3.9377871260499053</v>
      </c>
    </row>
    <row r="7" spans="1:10" ht="16.5" x14ac:dyDescent="0.15">
      <c r="A7" s="21" t="s">
        <v>9</v>
      </c>
      <c r="B7" s="8">
        <v>96.063000000000002</v>
      </c>
      <c r="C7" s="7">
        <v>11.7</v>
      </c>
      <c r="D7" s="3">
        <v>12.6</v>
      </c>
      <c r="E7" s="7">
        <v>12.7</v>
      </c>
      <c r="F7" s="7">
        <v>12.6</v>
      </c>
      <c r="G7" s="14">
        <f>10^(-0.496*1*SQRT(C$16)/(4*0.3258*(SQRT(C$16)+1)))*C7/$B7</f>
        <v>0.11365264456417011</v>
      </c>
      <c r="H7" s="14">
        <f>10^(-0.496*1*SQRT(D$16)/(4*0.3258*(SQRT(D$16)+1)))*D7/$B7</f>
        <v>0.12243470936529398</v>
      </c>
      <c r="I7" s="14">
        <f>10^(-0.496*1*SQRT(E$16)/(4*0.3258*(SQRT(E$16)+1)))*E7/$B7</f>
        <v>0.12346096324992632</v>
      </c>
      <c r="J7" s="14">
        <f>10^(-0.496*1*SQRT(F$16)/(4*0.3258*(SQRT(F$16)+1)))*F7/$B7</f>
        <v>0.12246614136831797</v>
      </c>
    </row>
    <row r="8" spans="1:10" ht="16.5" x14ac:dyDescent="0.15">
      <c r="A8" s="27"/>
      <c r="B8" s="8"/>
      <c r="C8" s="7"/>
      <c r="D8" s="3"/>
      <c r="E8" s="7"/>
      <c r="F8" s="7"/>
      <c r="G8" s="14"/>
      <c r="H8" s="14"/>
      <c r="I8" s="14"/>
      <c r="J8" s="14"/>
    </row>
    <row r="9" spans="1:10" ht="16.5" x14ac:dyDescent="0.15">
      <c r="A9" s="11" t="s">
        <v>40</v>
      </c>
      <c r="B9" s="11"/>
      <c r="C9" s="11"/>
      <c r="D9" s="11"/>
      <c r="E9" s="11"/>
      <c r="F9" s="11"/>
      <c r="G9" s="15"/>
      <c r="H9" s="15"/>
      <c r="I9" s="15"/>
      <c r="J9" s="15"/>
    </row>
    <row r="10" spans="1:10" ht="16.5" x14ac:dyDescent="0.15">
      <c r="A10" s="21" t="s">
        <v>33</v>
      </c>
      <c r="B10" s="8">
        <v>22.99</v>
      </c>
      <c r="C10" s="3">
        <v>7.76</v>
      </c>
      <c r="D10" s="3">
        <v>7.48</v>
      </c>
      <c r="E10" s="3">
        <v>7.58</v>
      </c>
      <c r="F10" s="3">
        <v>7.57</v>
      </c>
      <c r="G10" s="14">
        <f>10^(-0.496*1*(SQRT(C$16)/(4.25*0.3258*SQRT(C$16)+1)))*C10/$B10</f>
        <v>0.30925422121996027</v>
      </c>
      <c r="H10" s="14">
        <f>10^(-0.496*1*(SQRT(D$16)/(4.25*0.3258*SQRT(D$16)+1)))*D10/$B10</f>
        <v>0.29821383488813058</v>
      </c>
      <c r="I10" s="14">
        <f>10^(-0.496*1*(SQRT(E$16)/(4.25*0.3258*SQRT(E$16)+1)))*E10/$B10</f>
        <v>0.30236470954092415</v>
      </c>
      <c r="J10" s="14">
        <f>10^(-0.496*1*(SQRT(F$16)/(4.25*0.3258*SQRT(F$16)+1)))*F10/$B10</f>
        <v>0.30189711605871183</v>
      </c>
    </row>
    <row r="11" spans="1:10" ht="16.5" x14ac:dyDescent="0.15">
      <c r="A11" s="21" t="s">
        <v>34</v>
      </c>
      <c r="B11" s="8">
        <v>18.038</v>
      </c>
      <c r="C11" s="4">
        <v>0.1</v>
      </c>
      <c r="D11" s="4">
        <v>0.1</v>
      </c>
      <c r="E11" s="4">
        <v>0.15</v>
      </c>
      <c r="F11" s="4">
        <v>0.15</v>
      </c>
      <c r="G11" s="14">
        <f>10^(-0.496*1*(SQRT(C$16)/(2*0.3258*SQRT(C$16)+1)))*C11/$B11</f>
        <v>5.0529211856557843E-3</v>
      </c>
      <c r="H11" s="14">
        <f>10^(-0.496*1*(SQRT(D$16)/(2*0.3258*SQRT(D$16)+1)))*D11/$B11</f>
        <v>5.0551711367974976E-3</v>
      </c>
      <c r="I11" s="14">
        <f>10^(-0.496*1*(SQRT(E$16)/(2*0.3258*SQRT(E$16)+1)))*E11/$B11</f>
        <v>7.5873737562930739E-3</v>
      </c>
      <c r="J11" s="14">
        <f>10^(-0.496*1*(SQRT(F$16)/(2*0.3258*SQRT(F$16)+1)))*F11/$B11</f>
        <v>7.5854383059576055E-3</v>
      </c>
    </row>
    <row r="12" spans="1:10" ht="16.5" x14ac:dyDescent="0.15">
      <c r="A12" s="21" t="s">
        <v>47</v>
      </c>
      <c r="B12" s="8">
        <v>39.097999999999999</v>
      </c>
      <c r="C12" s="3">
        <v>1.54</v>
      </c>
      <c r="D12" s="3">
        <v>1.74</v>
      </c>
      <c r="E12" s="3">
        <v>1.8</v>
      </c>
      <c r="F12" s="3">
        <v>1.74</v>
      </c>
      <c r="G12" s="14">
        <f>10^(-0.496*1*(SQRT(C$16)/(3*0.3258*SQRT(C$16)+1)))*C12/$B12</f>
        <v>3.5986100855356418E-2</v>
      </c>
      <c r="H12" s="14">
        <f>10^(-0.496*1*(SQRT(D$16)/(3*0.3258*SQRT(D$16)+1)))*D12/$B12</f>
        <v>4.0676806110735902E-2</v>
      </c>
      <c r="I12" s="14">
        <f>10^(-0.496*1*(SQRT(E$16)/(3*0.3258*SQRT(E$16)+1)))*E12/$B12</f>
        <v>4.21037825488993E-2</v>
      </c>
      <c r="J12" s="14">
        <f>10^(-0.496*1*(SQRT(F$16)/(3*0.3258*SQRT(F$16)+1)))*F12/$B12</f>
        <v>4.0690464004070878E-2</v>
      </c>
    </row>
    <row r="13" spans="1:10" ht="16.5" x14ac:dyDescent="0.15">
      <c r="A13" s="21" t="s">
        <v>36</v>
      </c>
      <c r="B13" s="8">
        <v>40.078000000000003</v>
      </c>
      <c r="C13" s="7">
        <v>81.5</v>
      </c>
      <c r="D13" s="7">
        <v>80.2</v>
      </c>
      <c r="E13" s="7">
        <v>78.7</v>
      </c>
      <c r="F13" s="7">
        <v>79.3</v>
      </c>
      <c r="G13" s="14">
        <f>10^(-0.496*1*(SQRT(C$16)/(6*0.3258*SQRT(C$16)+1)))*C13/$B13</f>
        <v>1.8699734448574146</v>
      </c>
      <c r="H13" s="14">
        <f>10^(-0.496*1*(SQRT(D$16)/(6*0.3258*SQRT(D$16)+1)))*D13/$B13</f>
        <v>1.8408160083338314</v>
      </c>
      <c r="I13" s="14">
        <f>10^(-0.496*1*(SQRT(E$16)/(6*0.3258*SQRT(E$16)+1)))*E13/$B13</f>
        <v>1.8072876060499947</v>
      </c>
      <c r="J13" s="14">
        <f>10^(-0.496*1*(SQRT(F$16)/(6*0.3258*SQRT(F$16)+1)))*F13/$B13</f>
        <v>1.8206855366203938</v>
      </c>
    </row>
    <row r="14" spans="1:10" ht="16.5" x14ac:dyDescent="0.15">
      <c r="A14" s="21" t="s">
        <v>35</v>
      </c>
      <c r="B14" s="8">
        <v>24.305</v>
      </c>
      <c r="C14" s="3">
        <v>6.88</v>
      </c>
      <c r="D14" s="3">
        <v>6.77</v>
      </c>
      <c r="E14" s="3">
        <v>6.45</v>
      </c>
      <c r="F14" s="3">
        <v>6.51</v>
      </c>
      <c r="G14" s="14">
        <f>10^(-0.496*1*(SQRT(C$16)/(8*0.3258*SQRT(C$16)+1)))*C14/$B14</f>
        <v>0.26129993397196444</v>
      </c>
      <c r="H14" s="14">
        <f>10^(-0.496*1*(SQRT(D$16)/(8*0.3258*SQRT(D$16)+1)))*D14/$B14</f>
        <v>0.25720750008593357</v>
      </c>
      <c r="I14" s="14">
        <f>10^(-0.496*1*(SQRT(E$16)/(8*0.3258*SQRT(E$16)+1)))*E14/$B14</f>
        <v>0.24516135329263633</v>
      </c>
      <c r="J14" s="14">
        <f>10^(-0.496*1*(SQRT(F$16)/(8*0.3258*SQRT(F$16)+1)))*F14/$B14</f>
        <v>0.24739478061761258</v>
      </c>
    </row>
    <row r="15" spans="1:10" ht="16.5" x14ac:dyDescent="0.15">
      <c r="A15" s="21" t="s">
        <v>42</v>
      </c>
      <c r="B15" s="8">
        <v>55.844999999999999</v>
      </c>
      <c r="C15" s="3">
        <v>0.08</v>
      </c>
      <c r="D15" s="3">
        <v>1.28</v>
      </c>
      <c r="E15" s="3">
        <v>1.34</v>
      </c>
      <c r="F15" s="3">
        <v>1.32</v>
      </c>
      <c r="G15" s="14">
        <f>10^(-0.496*1*(SQRT(C$16)/(6*0.3258*SQRT(C$16)+1)))*C15/$B15</f>
        <v>1.3173147757986224E-3</v>
      </c>
      <c r="H15" s="14">
        <f>10^(-0.496*1*(SQRT(D$16)/(6*0.3258*SQRT(D$16)+1)))*D15/$B15</f>
        <v>2.1084714727855853E-2</v>
      </c>
      <c r="I15" s="14">
        <f>10^(-0.496*1*(SQRT(E$16)/(6*0.3258*SQRT(E$16)+1)))*E15/$B15</f>
        <v>2.2084068318262026E-2</v>
      </c>
      <c r="J15" s="14">
        <f>10^(-0.496*1*(SQRT(F$16)/(6*0.3258*SQRT(F$16)+1)))*F15/$B15</f>
        <v>2.1749908375790009E-2</v>
      </c>
    </row>
    <row r="16" spans="1:10" ht="16.5" x14ac:dyDescent="0.15">
      <c r="A16" s="21" t="s">
        <v>64</v>
      </c>
      <c r="B16" s="21"/>
      <c r="C16" s="26">
        <f>0.5*10^(-3)*(C3/$B3+C4/$B4+C5/$B5+C7/$B7*4+C6/$B6+C10/$B10+C11/$B11+C12/$B12+C13/$B13*4+C14/$B14*4+C15/$B15*4)</f>
        <v>7.3483598037516178E-3</v>
      </c>
      <c r="D16" s="26">
        <f>0.5*10^(-3)*(D3/$B3+D4/$B4+D5/$B5+D7/$B7*4+D6/$B6+D10/$B10+D11/$B11+D12/$B12+D13/$B13*4+D14/$B14*4+D15/$B15*4)</f>
        <v>7.2740658541302489E-3</v>
      </c>
      <c r="E16" s="26">
        <f>0.5*10^(-3)*(E3/$B3+E4/$B4+E5/$B5+E7/$B7*4+E6/$B6+E10/$B10+E11/$B11+E12/$B12+E13/$B13*4+E14/$B14*4+E15/$B15*4)</f>
        <v>7.1731567096331101E-3</v>
      </c>
      <c r="F16" s="26">
        <f>0.5*10^(-3)*(F3/$B3+F4/$B4+F5/$B5+F7/$B7*4+F6/$B6+F10/$B10+F11/$B11+F12/$B12+F13/$B13*4+F14/$B14*4+F15/$B15*4)</f>
        <v>7.2153551666071158E-3</v>
      </c>
    </row>
    <row r="18" spans="1:12" ht="16.5" x14ac:dyDescent="0.15">
      <c r="A18" s="35" t="s">
        <v>92</v>
      </c>
      <c r="B18" s="35"/>
      <c r="C18" s="35"/>
      <c r="D18" s="35"/>
      <c r="E18" s="35"/>
      <c r="F18" s="35"/>
      <c r="G18" s="35"/>
      <c r="H18" s="35"/>
    </row>
    <row r="19" spans="1:12" ht="16.5" x14ac:dyDescent="0.15">
      <c r="A19" s="28" t="s">
        <v>89</v>
      </c>
      <c r="B19" s="36" t="s">
        <v>93</v>
      </c>
      <c r="C19" s="36"/>
      <c r="D19" s="36"/>
      <c r="E19" s="36"/>
      <c r="F19" s="36"/>
      <c r="G19" s="36"/>
      <c r="H19" s="36"/>
      <c r="I19" s="37" t="s">
        <v>96</v>
      </c>
      <c r="J19" s="37"/>
      <c r="K19" s="24">
        <f>1.1*10^-36</f>
        <v>1.1E-36</v>
      </c>
    </row>
    <row r="20" spans="1:12" ht="16.5" x14ac:dyDescent="0.15">
      <c r="A20" s="28" t="s">
        <v>90</v>
      </c>
      <c r="B20" s="36" t="s">
        <v>94</v>
      </c>
      <c r="C20" s="36"/>
      <c r="D20" s="36"/>
      <c r="E20" s="36"/>
      <c r="F20" s="36"/>
      <c r="G20" s="36"/>
      <c r="H20" s="36"/>
      <c r="I20" s="30"/>
      <c r="J20" s="30" t="s">
        <v>88</v>
      </c>
      <c r="K20" s="25">
        <v>7.2</v>
      </c>
    </row>
    <row r="21" spans="1:12" ht="16.5" x14ac:dyDescent="0.15">
      <c r="A21" s="28" t="s">
        <v>91</v>
      </c>
      <c r="B21" s="36" t="s">
        <v>95</v>
      </c>
      <c r="C21" s="36"/>
      <c r="D21" s="36"/>
      <c r="E21" s="36"/>
      <c r="F21" s="36"/>
      <c r="G21" s="36"/>
      <c r="H21" s="36"/>
      <c r="J21" s="30" t="s">
        <v>97</v>
      </c>
      <c r="K21" s="24">
        <f>K19/10^(3*(LOG(0.292*10^-14)+K20))</f>
        <v>1.1097984931653701E-14</v>
      </c>
      <c r="L21" s="30"/>
    </row>
    <row r="22" spans="1:12" ht="16.5" x14ac:dyDescent="0.15">
      <c r="A22" s="21" t="s">
        <v>82</v>
      </c>
      <c r="B22" s="21" t="s">
        <v>83</v>
      </c>
      <c r="C22" s="21" t="s">
        <v>78</v>
      </c>
      <c r="D22" s="21" t="s">
        <v>79</v>
      </c>
      <c r="E22" s="21" t="s">
        <v>80</v>
      </c>
      <c r="F22" s="21" t="s">
        <v>81</v>
      </c>
    </row>
    <row r="23" spans="1:12" ht="16.5" x14ac:dyDescent="0.15">
      <c r="A23" s="28" t="s">
        <v>89</v>
      </c>
      <c r="B23" s="19">
        <v>13</v>
      </c>
      <c r="C23" s="19">
        <f>$B$23+LOG10(0.01/$B$15*10^(-0.496*1*(SQRT(C$16)/(9*0.3258*SQRT(C$16)+1)))/G$15)</f>
        <v>12.099348275887266</v>
      </c>
      <c r="D23" s="19">
        <f t="shared" ref="D23:F23" si="1">$B23+LOG10(0.01/$B15*10^(-0.496*1*(SQRT(D16)/(9*0.3258*SQRT(D16)+1)))/H15)</f>
        <v>10.895207859884447</v>
      </c>
      <c r="E23" s="19">
        <f t="shared" si="1"/>
        <v>10.875285191735635</v>
      </c>
      <c r="F23" s="19">
        <f t="shared" si="1"/>
        <v>10.881827712977747</v>
      </c>
    </row>
    <row r="24" spans="1:12" ht="16.5" x14ac:dyDescent="0.15">
      <c r="A24" s="28" t="s">
        <v>90</v>
      </c>
      <c r="B24" s="19">
        <v>13</v>
      </c>
      <c r="C24" s="19">
        <f>$B$23+LOG10((F2T1!D22-F2T1!D23)/$B$15*10^(-0.496*1*(SQRT(C$16)/(9*0.3258*SQRT(C$16)+1)))/G$15)</f>
        <v>14.248567388542645</v>
      </c>
      <c r="D24" s="19">
        <f>$B$23+LOG10((F2T2!D22-F2T2!D23)/$B$15*10^(-0.496*1*(SQRT(D$16)/(9*0.3258*SQRT(D$16)+1)))/H$15)</f>
        <v>12.651082715556939</v>
      </c>
      <c r="E24" s="19">
        <f>$B$23+LOG10((F2T3!D22-F2T3!D23)/$B$15*10^(-0.496*1*(SQRT(E$16)/(9*0.3258*SQRT(E$16)+1)))/I$15)</f>
        <v>12.13055769683894</v>
      </c>
      <c r="F24" s="19">
        <f>$B$23+LOG10((F2T4!D22-F2T4!D23)/$B$15*10^(-0.496*1*(SQRT(F$16)/(9*0.3258*SQRT(F$16)+1)))/J$15)</f>
        <v>11.580797717313766</v>
      </c>
    </row>
    <row r="25" spans="1:12" ht="16.5" x14ac:dyDescent="0.15">
      <c r="A25" s="28" t="s">
        <v>91</v>
      </c>
      <c r="B25" s="19">
        <v>13</v>
      </c>
      <c r="C25" s="19">
        <f>$B25+LOG10($K21/G15*1000)</f>
        <v>4.9255545676522363</v>
      </c>
      <c r="D25" s="19">
        <f t="shared" ref="D25:F25" si="2">$B25+LOG10($K21/H15*1000)</f>
        <v>3.7212764013433421</v>
      </c>
      <c r="E25" s="19">
        <f t="shared" si="2"/>
        <v>3.7011650488292815</v>
      </c>
      <c r="F25" s="19">
        <f t="shared" si="2"/>
        <v>3.7077866990382997</v>
      </c>
    </row>
    <row r="26" spans="1:12" ht="16.5" x14ac:dyDescent="0.15">
      <c r="A26" s="21"/>
      <c r="B26" s="21"/>
      <c r="C26" s="19"/>
      <c r="D26" s="19"/>
      <c r="E26" s="19"/>
      <c r="F26" s="19"/>
      <c r="G26" s="19"/>
    </row>
  </sheetData>
  <mergeCells count="5">
    <mergeCell ref="A18:H18"/>
    <mergeCell ref="B19:H19"/>
    <mergeCell ref="B20:H20"/>
    <mergeCell ref="B21:H21"/>
    <mergeCell ref="I19:J1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C19" sqref="C19:F21"/>
    </sheetView>
  </sheetViews>
  <sheetFormatPr defaultRowHeight="13.5" x14ac:dyDescent="0.15"/>
  <cols>
    <col min="1" max="1" width="24.375" bestFit="1" customWidth="1"/>
    <col min="2" max="2" width="18.375" bestFit="1" customWidth="1"/>
    <col min="3" max="10" width="10.75" bestFit="1" customWidth="1"/>
  </cols>
  <sheetData>
    <row r="1" spans="1:10" ht="16.5" x14ac:dyDescent="0.15">
      <c r="B1" s="27" t="s">
        <v>54</v>
      </c>
      <c r="C1" s="27" t="s">
        <v>55</v>
      </c>
      <c r="D1" s="27" t="s">
        <v>56</v>
      </c>
      <c r="E1" s="27" t="s">
        <v>57</v>
      </c>
      <c r="F1" s="27" t="s">
        <v>58</v>
      </c>
      <c r="G1" s="27" t="s">
        <v>65</v>
      </c>
      <c r="H1" s="27" t="s">
        <v>66</v>
      </c>
      <c r="I1" s="27" t="s">
        <v>67</v>
      </c>
      <c r="J1" s="27" t="s">
        <v>68</v>
      </c>
    </row>
    <row r="2" spans="1:10" ht="16.5" x14ac:dyDescent="0.15">
      <c r="A2" s="10" t="s">
        <v>39</v>
      </c>
      <c r="B2" s="10"/>
      <c r="C2" s="10"/>
      <c r="D2" s="10"/>
      <c r="E2" s="10"/>
      <c r="F2" s="10"/>
    </row>
    <row r="3" spans="1:10" ht="16.5" x14ac:dyDescent="0.15">
      <c r="A3" s="27" t="s">
        <v>5</v>
      </c>
      <c r="B3" s="8">
        <v>35.453000000000003</v>
      </c>
      <c r="C3" s="3">
        <v>8.4600000000000009</v>
      </c>
      <c r="D3" s="3">
        <v>8.35</v>
      </c>
      <c r="E3" s="3">
        <v>8.4600000000000009</v>
      </c>
      <c r="F3" s="3">
        <v>8.5500000000000007</v>
      </c>
      <c r="G3" s="14">
        <f>10^(-0.496*1*SQRT(C$16)/(3*0.3258*(SQRT(C$16)+1)))*C3/$B3</f>
        <v>0.21759578479065511</v>
      </c>
      <c r="H3" s="14">
        <f>10^(-0.496*1*SQRT(D$16)/(3*0.3258*(SQRT(D$16)+1)))*D3/$B3</f>
        <v>0.21485906984337116</v>
      </c>
      <c r="I3" s="14">
        <f>10^(-0.496*1*SQRT(E$16)/(3*0.3258*(SQRT(E$16)+1)))*E3/$B3</f>
        <v>0.21781785966209571</v>
      </c>
      <c r="J3" s="14">
        <f>10^(-0.496*1*SQRT(F$16)/(3*0.3258*(SQRT(F$16)+1)))*F3/$B3</f>
        <v>0.22008070582388983</v>
      </c>
    </row>
    <row r="4" spans="1:10" ht="16.5" x14ac:dyDescent="0.15">
      <c r="A4" s="27" t="s">
        <v>7</v>
      </c>
      <c r="B4" s="8">
        <v>46.006</v>
      </c>
      <c r="C4" s="4">
        <v>0.01</v>
      </c>
      <c r="D4" s="4">
        <v>0.01</v>
      </c>
      <c r="E4" s="4">
        <v>0.01</v>
      </c>
      <c r="F4" s="4">
        <v>0.01</v>
      </c>
      <c r="G4" s="14">
        <f>10^(-0.496*1*SQRT(C$16)/(3*0.3258*(SQRT(C$16)+1)))*C4/$B4</f>
        <v>1.9820683678383136E-4</v>
      </c>
      <c r="H4" s="14">
        <f t="shared" ref="H4:J5" si="0">10^(-0.496*1*(SQRT(D$16)/(SQRT(D$16)+1)-0.3*D$16))*D4/$B4</f>
        <v>1.9920002826042538E-4</v>
      </c>
      <c r="I4" s="14">
        <f t="shared" si="0"/>
        <v>1.993078959020002E-4</v>
      </c>
      <c r="J4" s="14">
        <f t="shared" si="0"/>
        <v>1.9926266756085351E-4</v>
      </c>
    </row>
    <row r="5" spans="1:10" ht="16.5" x14ac:dyDescent="0.15">
      <c r="A5" s="27" t="s">
        <v>8</v>
      </c>
      <c r="B5" s="8">
        <v>62.005000000000003</v>
      </c>
      <c r="C5" s="3">
        <v>0.36</v>
      </c>
      <c r="D5" s="4">
        <v>0.1</v>
      </c>
      <c r="E5" s="4">
        <v>0.1</v>
      </c>
      <c r="F5" s="4">
        <v>0.1</v>
      </c>
      <c r="G5" s="14">
        <f>10^(-0.496*1*SQRT(C$16)/(3*0.3258*(SQRT(C$16)+1)))*C5/$B5</f>
        <v>5.2943042398317878E-3</v>
      </c>
      <c r="H5" s="14">
        <f t="shared" si="0"/>
        <v>1.4780092734697412E-3</v>
      </c>
      <c r="I5" s="14">
        <f t="shared" si="0"/>
        <v>1.4788096216220338E-3</v>
      </c>
      <c r="J5" s="14">
        <f t="shared" si="0"/>
        <v>1.4784740398039878E-3</v>
      </c>
    </row>
    <row r="6" spans="1:10" ht="16.5" x14ac:dyDescent="0.15">
      <c r="A6" s="27" t="s">
        <v>62</v>
      </c>
      <c r="B6" s="8">
        <v>61.017000000000003</v>
      </c>
      <c r="C6" s="5">
        <v>263</v>
      </c>
      <c r="D6" s="7">
        <v>256.3</v>
      </c>
      <c r="E6" s="7">
        <v>255.1</v>
      </c>
      <c r="F6" s="7">
        <v>256.3</v>
      </c>
      <c r="G6" s="14">
        <f>10^(-0.496*1*SQRT(C$16)/(4.25*0.3258*(SQRT(C$16)+1)))*C6/$B6</f>
        <v>4.0385213562175677</v>
      </c>
      <c r="H6" s="14">
        <f>10^(-0.496*1*SQRT(D$16)/(4.25*0.3258*(SQRT(D$16)+1)))*D6/$B6</f>
        <v>3.9368359024909538</v>
      </c>
      <c r="I6" s="14">
        <f>10^(-0.496*1*SQRT(E$16)/(4.25*0.3258*(SQRT(E$16)+1)))*E6/$B6</f>
        <v>3.9200337450038547</v>
      </c>
      <c r="J6" s="14">
        <f>10^(-0.496*1*SQRT(F$16)/(4.25*0.3258*(SQRT(F$16)+1)))*F6/$B6</f>
        <v>3.9377871260499053</v>
      </c>
    </row>
    <row r="7" spans="1:10" ht="16.5" x14ac:dyDescent="0.15">
      <c r="A7" s="27" t="s">
        <v>9</v>
      </c>
      <c r="B7" s="8">
        <v>96.063000000000002</v>
      </c>
      <c r="C7" s="7">
        <v>11.7</v>
      </c>
      <c r="D7" s="3">
        <v>12.6</v>
      </c>
      <c r="E7" s="7">
        <v>12.7</v>
      </c>
      <c r="F7" s="7">
        <v>12.6</v>
      </c>
      <c r="G7" s="14">
        <f>10^(-0.496*1*SQRT(C$16)/(4*0.3258*(SQRT(C$16)+1)))*C7/$B7</f>
        <v>0.11365264456417011</v>
      </c>
      <c r="H7" s="14">
        <f>10^(-0.496*1*SQRT(D$16)/(4*0.3258*(SQRT(D$16)+1)))*D7/$B7</f>
        <v>0.12243470936529398</v>
      </c>
      <c r="I7" s="14">
        <f>10^(-0.496*1*SQRT(E$16)/(4*0.3258*(SQRT(E$16)+1)))*E7/$B7</f>
        <v>0.12346096324992632</v>
      </c>
      <c r="J7" s="14">
        <f>10^(-0.496*1*SQRT(F$16)/(4*0.3258*(SQRT(F$16)+1)))*F7/$B7</f>
        <v>0.12246614136831797</v>
      </c>
    </row>
    <row r="8" spans="1:10" ht="16.5" x14ac:dyDescent="0.15">
      <c r="A8" s="27"/>
      <c r="B8" s="8"/>
      <c r="C8" s="29"/>
      <c r="D8" s="24"/>
      <c r="E8" s="23"/>
      <c r="F8" s="25"/>
      <c r="G8" s="16"/>
      <c r="H8" s="16"/>
      <c r="I8" s="16"/>
      <c r="J8" s="16"/>
    </row>
    <row r="9" spans="1:10" ht="16.5" x14ac:dyDescent="0.15">
      <c r="A9" s="11" t="s">
        <v>40</v>
      </c>
      <c r="B9" s="11"/>
      <c r="C9" s="11"/>
      <c r="D9" s="11"/>
      <c r="E9" s="11"/>
      <c r="F9" s="11"/>
      <c r="G9" s="15"/>
      <c r="H9" s="15"/>
      <c r="I9" s="15"/>
      <c r="J9" s="15"/>
    </row>
    <row r="10" spans="1:10" ht="16.5" x14ac:dyDescent="0.15">
      <c r="A10" s="27" t="s">
        <v>33</v>
      </c>
      <c r="B10" s="8">
        <v>22.99</v>
      </c>
      <c r="C10" s="3">
        <v>7.76</v>
      </c>
      <c r="D10" s="3">
        <v>7.48</v>
      </c>
      <c r="E10" s="3">
        <v>7.58</v>
      </c>
      <c r="F10" s="3">
        <v>7.57</v>
      </c>
      <c r="G10" s="14">
        <f>10^(-0.496*1*(SQRT(C$16)/(4.25*0.3258*SQRT(C$16)+1)))*C10/$B10</f>
        <v>0.30925422121996027</v>
      </c>
      <c r="H10" s="14">
        <f>10^(-0.496*1*(SQRT(D$16)/(4.25*0.3258*SQRT(D$16)+1)))*D10/$B10</f>
        <v>0.29821383488813058</v>
      </c>
      <c r="I10" s="14">
        <f>10^(-0.496*1*(SQRT(E$16)/(4.25*0.3258*SQRT(E$16)+1)))*E10/$B10</f>
        <v>0.30236470954092415</v>
      </c>
      <c r="J10" s="14">
        <f>10^(-0.496*1*(SQRT(F$16)/(4.25*0.3258*SQRT(F$16)+1)))*F10/$B10</f>
        <v>0.30189711605871183</v>
      </c>
    </row>
    <row r="11" spans="1:10" ht="16.5" x14ac:dyDescent="0.15">
      <c r="A11" s="27" t="s">
        <v>34</v>
      </c>
      <c r="B11" s="8">
        <v>18.038</v>
      </c>
      <c r="C11" s="4">
        <v>0.1</v>
      </c>
      <c r="D11" s="4">
        <v>0.1</v>
      </c>
      <c r="E11" s="4">
        <v>0.15</v>
      </c>
      <c r="F11" s="4">
        <v>0.15</v>
      </c>
      <c r="G11" s="14">
        <f>10^(-0.496*1*(SQRT(C$16)/(2*0.3258*SQRT(C$16)+1)))*C11/$B11</f>
        <v>5.0529211856557843E-3</v>
      </c>
      <c r="H11" s="14">
        <f>10^(-0.496*1*(SQRT(D$16)/(2*0.3258*SQRT(D$16)+1)))*D11/$B11</f>
        <v>5.0551711367974976E-3</v>
      </c>
      <c r="I11" s="14">
        <f>10^(-0.496*1*(SQRT(E$16)/(2*0.3258*SQRT(E$16)+1)))*E11/$B11</f>
        <v>7.5873737562930739E-3</v>
      </c>
      <c r="J11" s="14">
        <f>10^(-0.496*1*(SQRT(F$16)/(2*0.3258*SQRT(F$16)+1)))*F11/$B11</f>
        <v>7.5854383059576055E-3</v>
      </c>
    </row>
    <row r="12" spans="1:10" ht="16.5" x14ac:dyDescent="0.15">
      <c r="A12" s="27" t="s">
        <v>47</v>
      </c>
      <c r="B12" s="8">
        <v>39.097999999999999</v>
      </c>
      <c r="C12" s="3">
        <v>1.54</v>
      </c>
      <c r="D12" s="3">
        <v>1.74</v>
      </c>
      <c r="E12" s="3">
        <v>1.8</v>
      </c>
      <c r="F12" s="3">
        <v>1.74</v>
      </c>
      <c r="G12" s="14">
        <f>10^(-0.496*1*(SQRT(C$16)/(3*0.3258*SQRT(C$16)+1)))*C12/$B12</f>
        <v>3.5986100855356418E-2</v>
      </c>
      <c r="H12" s="14">
        <f>10^(-0.496*1*(SQRT(D$16)/(3*0.3258*SQRT(D$16)+1)))*D12/$B12</f>
        <v>4.0676806110735902E-2</v>
      </c>
      <c r="I12" s="14">
        <f>10^(-0.496*1*(SQRT(E$16)/(3*0.3258*SQRT(E$16)+1)))*E12/$B12</f>
        <v>4.21037825488993E-2</v>
      </c>
      <c r="J12" s="14">
        <f>10^(-0.496*1*(SQRT(F$16)/(3*0.3258*SQRT(F$16)+1)))*F12/$B12</f>
        <v>4.0690464004070878E-2</v>
      </c>
    </row>
    <row r="13" spans="1:10" ht="16.5" x14ac:dyDescent="0.15">
      <c r="A13" s="27" t="s">
        <v>36</v>
      </c>
      <c r="B13" s="8">
        <v>40.078000000000003</v>
      </c>
      <c r="C13" s="7">
        <v>81.5</v>
      </c>
      <c r="D13" s="7">
        <v>80.2</v>
      </c>
      <c r="E13" s="7">
        <v>78.7</v>
      </c>
      <c r="F13" s="7">
        <v>79.3</v>
      </c>
      <c r="G13" s="14">
        <f>10^(-0.496*1*(SQRT(C$16)/(6*0.3258*SQRT(C$16)+1)))*C13/$B13</f>
        <v>1.8699734448574146</v>
      </c>
      <c r="H13" s="14">
        <f>10^(-0.496*1*(SQRT(D$16)/(6*0.3258*SQRT(D$16)+1)))*D13/$B13</f>
        <v>1.8408160083338314</v>
      </c>
      <c r="I13" s="14">
        <f>10^(-0.496*1*(SQRT(E$16)/(6*0.3258*SQRT(E$16)+1)))*E13/$B13</f>
        <v>1.8072876060499947</v>
      </c>
      <c r="J13" s="14">
        <f>10^(-0.496*1*(SQRT(F$16)/(6*0.3258*SQRT(F$16)+1)))*F13/$B13</f>
        <v>1.8206855366203938</v>
      </c>
    </row>
    <row r="14" spans="1:10" ht="16.5" x14ac:dyDescent="0.15">
      <c r="A14" s="27" t="s">
        <v>35</v>
      </c>
      <c r="B14" s="8">
        <v>24.305</v>
      </c>
      <c r="C14" s="3">
        <v>6.88</v>
      </c>
      <c r="D14" s="3">
        <v>6.77</v>
      </c>
      <c r="E14" s="3">
        <v>6.45</v>
      </c>
      <c r="F14" s="3">
        <v>6.51</v>
      </c>
      <c r="G14" s="14">
        <f>10^(-0.496*1*(SQRT(C$16)/(8*0.3258*SQRT(C$16)+1)))*C14/$B14</f>
        <v>0.26129993397196444</v>
      </c>
      <c r="H14" s="14">
        <f>10^(-0.496*1*(SQRT(D$16)/(8*0.3258*SQRT(D$16)+1)))*D14/$B14</f>
        <v>0.25720750008593357</v>
      </c>
      <c r="I14" s="14">
        <f>10^(-0.496*1*(SQRT(E$16)/(8*0.3258*SQRT(E$16)+1)))*E14/$B14</f>
        <v>0.24516135329263633</v>
      </c>
      <c r="J14" s="14">
        <f>10^(-0.496*1*(SQRT(F$16)/(8*0.3258*SQRT(F$16)+1)))*F14/$B14</f>
        <v>0.24739478061761258</v>
      </c>
    </row>
    <row r="15" spans="1:10" ht="16.5" x14ac:dyDescent="0.15">
      <c r="A15" s="27" t="s">
        <v>42</v>
      </c>
      <c r="B15" s="8">
        <v>55.844999999999999</v>
      </c>
      <c r="C15" s="3">
        <v>0.08</v>
      </c>
      <c r="D15" s="3">
        <v>1.28</v>
      </c>
      <c r="E15" s="3">
        <v>1.34</v>
      </c>
      <c r="F15" s="3">
        <v>1.32</v>
      </c>
      <c r="G15" s="14">
        <f>10^(-0.496*1*(SQRT(C$16)/(6*0.3258*SQRT(C$16)+1)))*C15/$B15</f>
        <v>1.3173147757986224E-3</v>
      </c>
      <c r="H15" s="14">
        <f>10^(-0.496*1*(SQRT(D$16)/(6*0.3258*SQRT(D$16)+1)))*D15/$B15</f>
        <v>2.1084714727855853E-2</v>
      </c>
      <c r="I15" s="14">
        <f>10^(-0.496*1*(SQRT(E$16)/(6*0.3258*SQRT(E$16)+1)))*E15/$B15</f>
        <v>2.2084068318262026E-2</v>
      </c>
      <c r="J15" s="14">
        <f>10^(-0.496*1*(SQRT(F$16)/(6*0.3258*SQRT(F$16)+1)))*F15/$B15</f>
        <v>2.1749908375790009E-2</v>
      </c>
    </row>
    <row r="16" spans="1:10" ht="16.5" x14ac:dyDescent="0.15">
      <c r="A16" s="27" t="s">
        <v>64</v>
      </c>
      <c r="B16" s="27"/>
      <c r="C16" s="26">
        <f>0.5*10^(-3)*(C3/$B3+C4/$B4+C5/$B5+C7/$B7*4+C6/$B6+C10/$B10+C11/$B11+C12/$B12+C13/$B13*4+C14/$B14*4+C15/$B15*4)</f>
        <v>7.3483598037516178E-3</v>
      </c>
      <c r="D16" s="26">
        <f>0.5*10^(-3)*(D3/$B3+D4/$B4+D5/$B5+D7/$B7*4+D6/$B6+D10/$B10+D11/$B11+D12/$B12+D13/$B13*4+D14/$B14*4+D15/$B15*4)</f>
        <v>7.2740658541302489E-3</v>
      </c>
      <c r="E16" s="26">
        <f>0.5*10^(-3)*(E3/$B3+E4/$B4+E5/$B5+E7/$B7*4+E6/$B6+E10/$B10+E11/$B11+E12/$B12+E13/$B13*4+E14/$B14*4+E15/$B15*4)</f>
        <v>7.1731567096331101E-3</v>
      </c>
      <c r="F16" s="26">
        <f>0.5*10^(-3)*(F3/$B3+F4/$B4+F5/$B5+F7/$B7*4+F6/$B6+F10/$B10+F11/$B11+F12/$B12+F13/$B13*4+F14/$B14*4+F15/$B15*4)</f>
        <v>7.2153551666071158E-3</v>
      </c>
    </row>
    <row r="17" spans="1:7" ht="16.5" x14ac:dyDescent="0.15">
      <c r="A17" s="32"/>
      <c r="B17" s="32"/>
      <c r="C17" s="26"/>
      <c r="D17" s="26"/>
      <c r="E17" s="26"/>
      <c r="F17" s="26"/>
    </row>
    <row r="18" spans="1:7" ht="16.5" x14ac:dyDescent="0.15">
      <c r="A18" s="30" t="s">
        <v>88</v>
      </c>
      <c r="B18" s="25">
        <v>7.4</v>
      </c>
      <c r="C18" s="33" t="s">
        <v>103</v>
      </c>
      <c r="D18" s="33" t="s">
        <v>104</v>
      </c>
      <c r="E18" s="33" t="s">
        <v>105</v>
      </c>
      <c r="F18" s="33" t="s">
        <v>106</v>
      </c>
      <c r="G18" s="33" t="s">
        <v>102</v>
      </c>
    </row>
    <row r="19" spans="1:7" ht="16.5" x14ac:dyDescent="0.15">
      <c r="A19" s="32" t="s">
        <v>107</v>
      </c>
      <c r="B19" s="33" t="s">
        <v>99</v>
      </c>
      <c r="C19" s="19">
        <f>C20/$G19</f>
        <v>8.6342055572382712</v>
      </c>
      <c r="D19" s="19">
        <f t="shared" ref="D19:F19" si="1">D20/$G19</f>
        <v>8.4168059121169385</v>
      </c>
      <c r="E19" s="19">
        <f t="shared" si="1"/>
        <v>8.3808835363876746</v>
      </c>
      <c r="F19" s="19">
        <f t="shared" si="1"/>
        <v>8.4188395920246197</v>
      </c>
      <c r="G19" s="16">
        <f>10^-1.27</f>
        <v>5.3703179637025256E-2</v>
      </c>
    </row>
    <row r="20" spans="1:7" ht="16.5" x14ac:dyDescent="0.15">
      <c r="A20" s="32" t="s">
        <v>108</v>
      </c>
      <c r="B20" s="33" t="s">
        <v>100</v>
      </c>
      <c r="C20" s="19">
        <f>G6*10^-$B$18/$G20</f>
        <v>0.46368429206336864</v>
      </c>
      <c r="D20" s="19">
        <f t="shared" ref="D20:F20" si="2">H6*10^-$B$18/$G20</f>
        <v>0.4520092398683922</v>
      </c>
      <c r="E20" s="19">
        <f t="shared" si="2"/>
        <v>0.45008009407161481</v>
      </c>
      <c r="F20" s="19">
        <f t="shared" si="2"/>
        <v>0.45211845494579855</v>
      </c>
      <c r="G20" s="16">
        <f>10^-6.46</f>
        <v>3.4673685045253148E-7</v>
      </c>
    </row>
    <row r="21" spans="1:7" ht="16.5" x14ac:dyDescent="0.15">
      <c r="A21" s="32" t="s">
        <v>109</v>
      </c>
      <c r="B21" s="33" t="s">
        <v>101</v>
      </c>
      <c r="C21" s="19">
        <f>$G21*G6/10^-$B$18</f>
        <v>2.7939741509488644E-3</v>
      </c>
      <c r="D21" s="19">
        <f t="shared" ref="D21:F21" si="3">$G21*H6/10^-$B$18</f>
        <v>2.7236250047688484E-3</v>
      </c>
      <c r="E21" s="19">
        <f t="shared" si="3"/>
        <v>2.7120007518410161E-3</v>
      </c>
      <c r="F21" s="19">
        <f t="shared" si="3"/>
        <v>2.7242830906871992E-3</v>
      </c>
      <c r="G21" s="16">
        <f>10^-10.56</f>
        <v>2.7542287033381602E-11</v>
      </c>
    </row>
    <row r="22" spans="1:7" ht="17.25" customHeight="1" x14ac:dyDescent="0.15"/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F2T1</vt:lpstr>
      <vt:lpstr>F2T2</vt:lpstr>
      <vt:lpstr>F2T3</vt:lpstr>
      <vt:lpstr>F2T4</vt:lpstr>
      <vt:lpstr>ion balance</vt:lpstr>
      <vt:lpstr>saturation index</vt:lpstr>
      <vt:lpstr>redox potential</vt:lpstr>
      <vt:lpstr>carbon balence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2016-08-17T14:40:26Z</dcterms:modified>
</cp:coreProperties>
</file>